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Disclosure" sheetId="1" state="visible" r:id="rId3"/>
    <sheet name="Assumptions" sheetId="2" state="visible" r:id="rId4"/>
    <sheet name="Revenue Build" sheetId="3" state="visible" r:id="rId5"/>
    <sheet name="P&amp;L and Cash" sheetId="4" state="visible" r:id="rId6"/>
    <sheet name="Financing" sheetId="5" state="visible" r:id="rId7"/>
    <sheet name="Scenarios" sheetId="6" state="visible" r:id="rId8"/>
    <sheet name="Valuation SOTP" sheetId="7" state="visible" r:id="rId9"/>
    <sheet name="Sources" sheetId="8" state="visible" r:id="rId10"/>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<sst xmlns="http://schemas.openxmlformats.org/spreadsheetml/2006/main" count="544" uniqueCount="462">
  <si>
    <t xml:space="preserve">Author, Position Disclosure and Important Notices</t>
  </si>
  <si>
    <t xml:space="preserve">Author</t>
  </si>
  <si>
    <t xml:space="preserve">This model and the accompanying report were researched and written by Edwin P. Jacques (X/Twitter: @EdwinPJacques). They represent the author's own analysis and opinions, and are not issued by, endorsed by, or affiliated with ImmunityBio, Inc., any broker-dealer, investment adviser, or research firm.</t>
  </si>
  <si>
    <t xml:space="preserve">Position disclosure</t>
  </si>
  <si>
    <t xml:space="preserve">At the time of writing the author holds a SUBSTANTIAL LONG POSITION in ImmunityBio, Inc. (NASDAQ: IBRX) across multiple accounts, and therefore has a direct financial interest in the security discussed and stands to benefit from any appreciation in its price. Readers should assume the author is not disinterested and weigh the analysis accordingly. The author may buy or sell securities discussed herein at any time without notice and undertakes no obligation to update this work.</t>
  </si>
  <si>
    <t xml:space="preserve">Purpose</t>
  </si>
  <si>
    <t xml:space="preserve">Provided for informational and entertainment purposes only. Not investment advice, not an offer or solicitation to buy or sell any security, and not a recommendation of any investment strategy. Nothing here is tailored to the financial circumstances, objectives or risk tolerance of any reader. NO FINANCIAL DECISIONS SHOULD BE MADE ON THE BASIS OF THIS DOCUMENT.</t>
  </si>
  <si>
    <t xml:space="preserve">Seek professional advice</t>
  </si>
  <si>
    <t xml:space="preserve">Readers should consult a qualified financial adviser, tax professional or other licensed practitioner before making any personal investment decision. Investing in early-commercial-stage biotechnology involves substantial risk, including total loss of capital.</t>
  </si>
  <si>
    <t xml:space="preserve">No warranty</t>
  </si>
  <si>
    <t xml:space="preserve">Information is drawn from sources believed reliable, but accuracy, completeness and timeliness are not guaranteed. NO WARRANTIES OF CORRECTNESS, MERCHANTABILITY OR FITNESS FOR ANY PURPOSE ARE EXPRESSED OR IMPLIED. All projections, models, valuations and scenarios are estimates based on stated assumptions that may prove incorrect. Forward-looking statements are inherently uncertain and actual results may differ materially. The author accepts no liability for any loss arising from reliance on this work.</t>
  </si>
  <si>
    <t xml:space="preserve">ImmunityBio (IBRX) — Revenue &amp; Cash Model</t>
  </si>
  <si>
    <t xml:space="preserve">All revenue figures in $ millions. Edit BLUE cells only. Black cells are formulas.</t>
  </si>
  <si>
    <t xml:space="preserve">Baseline calibrated to Q2 2026 SEC-filed actuals (10-Q, accession 0001326110-26-000079). Binding constraint is the QUILT-2.005 readout and approval timing, not BCG supply.</t>
  </si>
  <si>
    <t xml:space="preserve">LEGEND</t>
  </si>
  <si>
    <t xml:space="preserve">Blue text</t>
  </si>
  <si>
    <t xml:space="preserve">Input — edit these</t>
  </si>
  <si>
    <t xml:space="preserve">Black text</t>
  </si>
  <si>
    <t xml:space="preserve">Formula — do not overwrite</t>
  </si>
  <si>
    <t xml:space="preserve">Green text</t>
  </si>
  <si>
    <t xml:space="preserve">Link from another sheet</t>
  </si>
  <si>
    <t xml:space="preserve">Yellow fill</t>
  </si>
  <si>
    <t xml:space="preserve">Key assumption — most sensitive</t>
  </si>
  <si>
    <t xml:space="preserve">BASELINE — SEC FILED (Q2 2026)</t>
  </si>
  <si>
    <t xml:space="preserve">Value</t>
  </si>
  <si>
    <t xml:space="preserve">Source</t>
  </si>
  <si>
    <t xml:space="preserve">Q2 2026 net product revenue</t>
  </si>
  <si>
    <t xml:space="preserve">10-Q, quarter ended 30 Jun 2026</t>
  </si>
  <si>
    <t xml:space="preserve">Q2 2026 operating expenses</t>
  </si>
  <si>
    <t xml:space="preserve">10-Q: R&amp;D $60.8m + SG&amp;A $51.8m</t>
  </si>
  <si>
    <t xml:space="preserve">Q2 2026 operating cash burn (derived, Q2-standalone)</t>
  </si>
  <si>
    <t xml:space="preserve">10-Q reports $(141.9)m for SIX months. $66.5m = 6mo $141.9m less Q1 $75.4m. Not a stated line item.</t>
  </si>
  <si>
    <t xml:space="preserve">Cash + marketable securities, 30 Jun 2026</t>
  </si>
  <si>
    <t xml:space="preserve">10-Q balance sheet</t>
  </si>
  <si>
    <t xml:space="preserve">Shares outstanding (m), 31 Jul 2026</t>
  </si>
  <si>
    <t xml:space="preserve">10-Q cover page</t>
  </si>
  <si>
    <t xml:space="preserve">ANKTIVA WAC per 400mcg dose ($)</t>
  </si>
  <si>
    <t xml:space="preserve">ImmunityBio ordering guide; The Medical Letter</t>
  </si>
  <si>
    <t xml:space="preserve">Gross-to-net deduction</t>
  </si>
  <si>
    <t xml:space="preserve">Derived: Q2 GTN ~$10.7m on ~$61.4m gross</t>
  </si>
  <si>
    <t xml:space="preserve">Expected doses per patient</t>
  </si>
  <si>
    <t xml:space="preserve">QUILT-3.032: median 12 of possible 30</t>
  </si>
  <si>
    <t xml:space="preserve">DERIVED UNIT ECONOMICS</t>
  </si>
  <si>
    <t xml:space="preserve">Net revenue per dose ($)</t>
  </si>
  <si>
    <t xml:space="preserve">Net revenue per patient, lifetime ($)</t>
  </si>
  <si>
    <t xml:space="preserve">Implied doses in Q2 2026</t>
  </si>
  <si>
    <t xml:space="preserve">Implied new patient starts per quarter</t>
  </si>
  <si>
    <t xml:space="preserve">COST &amp; CASH DRIVERS</t>
  </si>
  <si>
    <t xml:space="preserve">Note</t>
  </si>
  <si>
    <t xml:space="preserve">OpEx growth per quarter</t>
  </si>
  <si>
    <t xml:space="preserve">EU/MENA build offset by R&amp;D plateau as QUILT-2.005 completes</t>
  </si>
  <si>
    <t xml:space="preserve">Interest paid, Q3 2026 ($m)</t>
  </si>
  <si>
    <t xml:space="preserve">~$20m/qtr; rises with Oberland liability</t>
  </si>
  <si>
    <t xml:space="preserve">Interest growth per quarter ($m)</t>
  </si>
  <si>
    <t xml:space="preserve">Straight-line increment</t>
  </si>
  <si>
    <t xml:space="preserve">Non-cash addbacks, Q3 2026 ($m)</t>
  </si>
  <si>
    <t xml:space="preserve">Plug reconciling opex-revenue to filed burn</t>
  </si>
  <si>
    <t xml:space="preserve">Non-cash growth per quarter ($m)</t>
  </si>
  <si>
    <t xml:space="preserve">NON-OPERATING CAPITAL AVAILABLE</t>
  </si>
  <si>
    <t xml:space="preserve">$m</t>
  </si>
  <si>
    <t xml:space="preserve">Warrants in the money</t>
  </si>
  <si>
    <t xml:space="preserve">13.5m @ $3.101 + 27.96m @ $3.240; price-contingent</t>
  </si>
  <si>
    <t xml:space="preserve">ATM remaining capacity</t>
  </si>
  <si>
    <t xml:space="preserve">$500m authorised Dec 2025</t>
  </si>
  <si>
    <t xml:space="preserve">Convertible note principal</t>
  </si>
  <si>
    <t xml:space="preserve">Related party; matures 31 Dec 2027</t>
  </si>
  <si>
    <t xml:space="preserve">Revenue Build by Segment ($m)</t>
  </si>
  <si>
    <t xml:space="preserve">Edit BLUE cells to change the forecast. Totals and the P&amp;L flow through automatically.</t>
  </si>
  <si>
    <t xml:space="preserve">Segment</t>
  </si>
  <si>
    <t xml:space="preserve">Q3'26</t>
  </si>
  <si>
    <t xml:space="preserve">Q4'26</t>
  </si>
  <si>
    <t xml:space="preserve">Q1'27</t>
  </si>
  <si>
    <t xml:space="preserve">Q2'27</t>
  </si>
  <si>
    <t xml:space="preserve">Q3'27</t>
  </si>
  <si>
    <t xml:space="preserve">Q4'27</t>
  </si>
  <si>
    <t xml:space="preserve">Q1'28</t>
  </si>
  <si>
    <t xml:space="preserve">Q2'28</t>
  </si>
  <si>
    <t xml:space="preserve">Q3'28</t>
  </si>
  <si>
    <t xml:space="preserve">Q4'28</t>
  </si>
  <si>
    <t xml:space="preserve">Driver</t>
  </si>
  <si>
    <t xml:space="preserve">US core (BCG-unresponsive CIS)</t>
  </si>
  <si>
    <t xml:space="preserve">Adds decay to Q2 2027 as the niche saturates, then re-accelerate to ~$7m/qtr from Q3 2027 as TICE relief removes the EAP friction gating prescribing</t>
  </si>
  <si>
    <t xml:space="preserve">Papillary-only</t>
  </si>
  <si>
    <t xml:space="preserve">PDUFA 6 Jan 2027; NCCN 2A already enables reimbursed use</t>
  </si>
  <si>
    <t xml:space="preserve">BCG-naive</t>
  </si>
  <si>
    <t xml:space="preserve">Approval ~Q4 2027. Base = ~4.5% of ~30,000 eligible in launch year; 3-6% band per launch analogs</t>
  </si>
  <si>
    <t xml:space="preserve">MENA bladder</t>
  </si>
  <si>
    <t xml:space="preserve">Saudi launch Apr 2026; private/self-pay channel</t>
  </si>
  <si>
    <t xml:space="preserve">MENA NSCLC private-pay</t>
  </si>
  <si>
    <t xml:space="preserve">Only jurisdictions with subcutaneous approval; ~250-350 eligible/yr GCC</t>
  </si>
  <si>
    <t xml:space="preserve">Off-label lymphopenia (Gulf)</t>
  </si>
  <si>
    <t xml:space="preserve">Lawful off-label where SC presentation on-market; NOT company promoted</t>
  </si>
  <si>
    <t xml:space="preserve">EU / Accord</t>
  </si>
  <si>
    <t xml:space="preserve">Booked as IBRX-captured net sales (end-market less ~25-35% distributor margin), not royalty. Germany free-pricing 2027; France early access if enrolled; UK NICE terminated 4 Jun 2026</t>
  </si>
  <si>
    <t xml:space="preserve">Rest of world (Macau, named-patient)</t>
  </si>
  <si>
    <t xml:space="preserve">Macau approved Mar 2026 only. No Japan/China/Korea filings disclosed. Oberland carve-out excludes China -&gt; rights likely held separately; terminal upside not modelled</t>
  </si>
  <si>
    <t xml:space="preserve">TOTAL REVENUE</t>
  </si>
  <si>
    <t xml:space="preserve">FY2026 (incl. H1 actual $94.8m)</t>
  </si>
  <si>
    <t xml:space="preserve">FY2027</t>
  </si>
  <si>
    <t xml:space="preserve">FY2028</t>
  </si>
  <si>
    <t xml:space="preserve">FY2028 ex-US</t>
  </si>
  <si>
    <t xml:space="preserve">MENA bladder + MENA NSCLC + lymphopenia + EU + RoW</t>
  </si>
  <si>
    <t xml:space="preserve">BCG-NAIVE PENETRATION CALCULATOR</t>
  </si>
  <si>
    <t xml:space="preserve">Edit blue cells to test different share assumptions. This block is illustrative and does not drive row 7 — change row 7 directly.</t>
  </si>
  <si>
    <t xml:space="preserve">Eligible US BCG-naive high-risk patients/yr</t>
  </si>
  <si>
    <t xml:space="preserve">AstraZeneca: &gt;31,000 treated in 2024; Guggenheim ~25-26,000</t>
  </si>
  <si>
    <t xml:space="preserve">Fraction receiving ANY branded add-on</t>
  </si>
  <si>
    <t xml:space="preserve">Most stay on BCG alone; payers gate a $750k-$1.1m first-line add-on</t>
  </si>
  <si>
    <t xml:space="preserve">ANKTIVA share of the add-on pool</t>
  </si>
  <si>
    <t xml:space="preserve">Workflow + buy-and-bill favour ANKTIVA over IV IMFINZI</t>
  </si>
  <si>
    <t xml:space="preserve">Implied penetration of eligible pool</t>
  </si>
  <si>
    <t xml:space="preserve">Add-on fraction x ANKTIVA share of that pool</t>
  </si>
  <si>
    <t xml:space="preserve">Implied patients treated</t>
  </si>
  <si>
    <t xml:space="preserve">Eligible patients x penetration</t>
  </si>
  <si>
    <t xml:space="preserve">Net revenue recognised per patient, launch yr ($)</t>
  </si>
  <si>
    <t xml:space="preserve">~9 doses at $29,714 net, partial-year weighting</t>
  </si>
  <si>
    <t xml:space="preserve">Implied launch-year revenue ($m)</t>
  </si>
  <si>
    <t xml:space="preserve">Patients x net revenue per patient</t>
  </si>
  <si>
    <t xml:space="preserve">PENETRATION BY YEAR — SCENARIO GUIDE</t>
  </si>
  <si>
    <t xml:space="preserve">Scenario</t>
  </si>
  <si>
    <t xml:space="preserve">Launch yr</t>
  </si>
  <si>
    <t xml:space="preserve">Year 2</t>
  </si>
  <si>
    <t xml:space="preserve">Year 3</t>
  </si>
  <si>
    <t xml:space="preserve">Basis</t>
  </si>
  <si>
    <t xml:space="preserve">Bear</t>
  </si>
  <si>
    <t xml:space="preserve">Ambiguous full readout; standard review; heavy payer step-through</t>
  </si>
  <si>
    <t xml:space="preserve">Base</t>
  </si>
  <si>
    <t xml:space="preserve">3-6% band from launch analogs; workflow advantage lifts above low end</t>
  </si>
  <si>
    <t xml:space="preserve">Bull</t>
  </si>
  <si>
    <t xml:space="preserve">Clean readout, NCCN inclusion, light prior auth, IMFINZI stays IV-bound</t>
  </si>
  <si>
    <t xml:space="preserve">Why not higher</t>
  </si>
  <si>
    <t xml:space="preserve">Most BCG-naive patients stay on BCG alone: cheap, familiar, ~60% 5-yr RFS with maintenance. First-line add-on friction is the binding constraint.</t>
  </si>
  <si>
    <t xml:space="preserve">Why not lower</t>
  </si>
  <si>
    <t xml:space="preserve">Site of care. IMFINZI needs IV q4wk x13; most urology practices refer out. Pembrolizumab NMIBC analog: only 126 US initiations over 2 years.</t>
  </si>
  <si>
    <t xml:space="preserve">Not credited: durability read-across</t>
  </si>
  <si>
    <t xml:space="preserve">2nd-line comparator was failed BCG; 1st-line comparator is working BCG. Edge does not transfer across lines.</t>
  </si>
  <si>
    <t xml:space="preserve">Not credited: interim at face value</t>
  </si>
  <si>
    <t xml:space="preserve">84% v 52% rests on n=43; 6-mo missed significance. Interim effects run ~31% larger than final. 20-35% haircut applied.</t>
  </si>
  <si>
    <t xml:space="preserve">Key swing</t>
  </si>
  <si>
    <t xml:space="preserve">Full QUILT-2.005 readout and whether FDA grants priority or standard review.</t>
  </si>
  <si>
    <t xml:space="preserve">On BCG supply</t>
  </si>
  <si>
    <t xml:space="preserve">Supply constrains the SECOND-LINE funnel (patients need documented adequate BCG to become "unresponsive"). It does NOT gate the naive line: ANKTIVA rides the same BCG schedule the patient already receives.</t>
  </si>
  <si>
    <t xml:space="preserve">EX-US STRUCTURE</t>
  </si>
  <si>
    <t xml:space="preserve">EU revenue recognition</t>
  </si>
  <si>
    <t xml:space="preserve">Accord = distributor, not licensee. ImmunityBio Ireland Ltd appears to be MAH. Book at end-market less distributor margin, NOT royalty.</t>
  </si>
  <si>
    <t xml:space="preserve">Largest ex-US unknown</t>
  </si>
  <si>
    <t xml:space="preserve">MAH of record in final EPAR Annex I. If a Serum out-licence exists, cut the EU line sharply and reclassify to royalty.</t>
  </si>
  <si>
    <t xml:space="preserve">EU structural advantage</t>
  </si>
  <si>
    <t xml:space="preserve">6 approved BCG substrains in Europe vs 1 in the US. The supply constraint that suppresses US uptake is largely absent.</t>
  </si>
  <si>
    <t xml:space="preserve">EU competitive whitespace</t>
  </si>
  <si>
    <t xml:space="preserve">ANKTIVA is first and only EU-authorised agent in BCG-unresponsive CIS. ADSTILADRIN CHMP opinion Mar 2026 only; INLEXZO not EU-approved.</t>
  </si>
  <si>
    <t xml:space="preserve">UK</t>
  </si>
  <si>
    <t xml:space="preserve">NICE terminated appraisal 4 Jun 2026 (non-submission). No routine NHS funding. Private-pay only.</t>
  </si>
  <si>
    <t xml:space="preserve">Asia</t>
  </si>
  <si>
    <t xml:space="preserve">2028 near zero is correct. Terminal value understated - Japan filing or identified China partner would be the swing.</t>
  </si>
  <si>
    <t xml:space="preserve">TICE SUPPLY RELIEF — MODELLED AS AN UNLOCK (revised)</t>
  </si>
  <si>
    <t xml:space="preserve">The billing mechanics</t>
  </si>
  <si>
    <t xml:space="preserve">TICE: practice bills CPT 51720 (instillation) + J9030 (drug, $2.821/mg = $141.05 per 50mg vial). rBCG under EAP is investigational: no J-code, supplied free/at cost. Drug line disappears; 51720 survives at full value regardless of dose.</t>
  </si>
  <si>
    <t xml:space="preserve">Why the small loss is decisive</t>
  </si>
  <si>
    <t xml:space="preserve">Forgone margin is single-digit dollars per instillation. To preserve that, a practice accepts IRB review, informed consent, AE reporting, live-biologic handling, staff training. Indefensible with any alternative.</t>
  </si>
  <si>
    <t xml:space="preserve">The evidence</t>
  </si>
  <si>
    <t xml:space="preserve">~200 practices registered for the rBCG EAP (May 2025). ~58 active sites by early 2026. Three-quarters did not proceed.</t>
  </si>
  <si>
    <t xml:space="preserve">The asymmetry</t>
  </si>
  <si>
    <t xml:space="preserve">rBCG is a last resort, not a substitute. The shortage handicaps ANKTIVA ALONE - INLEXZO, cretostimogene, ADSTILADRIN need no BCG. Relief widens the funnel for all AND removes a constraint binding on one.</t>
  </si>
  <si>
    <t xml:space="preserve">Prior error</t>
  </si>
  <si>
    <t xml:space="preserve">Earlier version argued relief ERODES ANKTIVA rBCG advantage. Inverted: rBCG was never an advantage. Relief is straightforwardly positive.</t>
  </si>
  <si>
    <t xml:space="preserve">Timing risk</t>
  </si>
  <si>
    <t xml:space="preserve">Merck guides gradual increase after local review and approvals. Gating: prior-approval supplement, pre-approval inspection, &gt;3-month cycle, lot release. A one-year slip removes most FY2028 benefit.</t>
  </si>
  <si>
    <t xml:space="preserve">IMPACT OF THE REVISION</t>
  </si>
  <si>
    <t xml:space="preserve">Line</t>
  </si>
  <si>
    <t xml:space="preserve">Prior</t>
  </si>
  <si>
    <t xml:space="preserve">Revised</t>
  </si>
  <si>
    <t xml:space="preserve">Delta</t>
  </si>
  <si>
    <t xml:space="preserve">FY2028 US core</t>
  </si>
  <si>
    <t xml:space="preserve">FY2028 total</t>
  </si>
  <si>
    <t xml:space="preserve">FY2027 total</t>
  </si>
  <si>
    <t xml:space="preserve">Trough cash Q4 27</t>
  </si>
  <si>
    <t xml:space="preserve">COST OF SALES — WHY IT STAYS NEAR ZERO</t>
  </si>
  <si>
    <t xml:space="preserve">The 99% margin</t>
  </si>
  <si>
    <t xml:space="preserve">Q2 2026 cost of sales $0.298m on $50.7m revenue. Pre-approval manufacturing expensed to R&amp;D, not capitalised.</t>
  </si>
  <si>
    <t xml:space="preserve">Pre-expensed pool</t>
  </si>
  <si>
    <t xml:space="preserve">DS "sufficient for 170,000 doses" released May 2024. At ~1,700 doses/qtr that is ~25 YEARS of bulk supply at zero carrying cost.</t>
  </si>
  <si>
    <t xml:space="preserve">Modelling implication</t>
  </si>
  <si>
    <t xml:space="preserve">Do NOT normalise COGS to 10-15%. ANKTIVA is 400mcg against $35,800 list - trivial protein mass, substance already expensed. Hold product COGS in low single digits.</t>
  </si>
  <si>
    <t xml:space="preserve">The offset</t>
  </si>
  <si>
    <t xml:space="preserve">Dunkirk 400,000 sq ft built for 1m vials/yr vs ~7,000 doses/yr - under 1% utilisation. ASC 330-10-30-7 expenses idle capacity currently, so it sits in R&amp;D/SG&amp;A. Bring-up rolls off, idle-capacity replaces it. Neutral - no opex reduction credited.</t>
  </si>
  <si>
    <t xml:space="preserve">Quarterly P&amp;L and Cash Flow ($m)</t>
  </si>
  <si>
    <t xml:space="preserve">All cells are formulas driven by the Assumptions and Revenue Build tabs.</t>
  </si>
  <si>
    <t xml:space="preserve">Total revenue</t>
  </si>
  <si>
    <t xml:space="preserve">Operating expenses</t>
  </si>
  <si>
    <t xml:space="preserve">Operating income / (loss)</t>
  </si>
  <si>
    <t xml:space="preserve">Interest paid</t>
  </si>
  <si>
    <t xml:space="preserve">Non-cash addbacks</t>
  </si>
  <si>
    <t xml:space="preserve">Operating cash burn / (generation)</t>
  </si>
  <si>
    <t xml:space="preserve">Cash balance, end of quarter</t>
  </si>
  <si>
    <t xml:space="preserve">KEY OUTPUTS</t>
  </si>
  <si>
    <t xml:space="preserve">Trough cash ($m)</t>
  </si>
  <si>
    <t xml:space="preserve">Cumulative burn to end of window ($m)</t>
  </si>
  <si>
    <t xml:space="preserve">First cash-flow-positive quarter</t>
  </si>
  <si>
    <t xml:space="preserve">Capital available if needed ($m)</t>
  </si>
  <si>
    <t xml:space="preserve">Share Count and Financing — Built, Not Assumed</t>
  </si>
  <si>
    <t xml:space="preserve">ATM shares are a FUNCTION of cash needed / issue price. Edit blue cells.</t>
  </si>
  <si>
    <t xml:space="preserve">FULLY DILUTED TODAY</t>
  </si>
  <si>
    <t xml:space="preserve">Outstanding, 31 Jul 2026</t>
  </si>
  <si>
    <t xml:space="preserve">Convertible conversion @ $5.427</t>
  </si>
  <si>
    <t xml:space="preserve">$480m. Cash repayment at Dec 2027 maturity not credible</t>
  </si>
  <si>
    <t xml:space="preserve">Warrants (13.5m@$3.101 + 27.96m@$3.240)</t>
  </si>
  <si>
    <t xml:space="preserve">Deeply in the money, expire 2030</t>
  </si>
  <si>
    <t xml:space="preserve">Options + RSUs</t>
  </si>
  <si>
    <t xml:space="preserve">Historically excluded as anti-dilutive</t>
  </si>
  <si>
    <t xml:space="preserve">FULLY DILUTED BASE</t>
  </si>
  <si>
    <t xml:space="preserve">CASH ALREADY IMPLIED BY THAT DILUTION</t>
  </si>
  <si>
    <t xml:space="preserve">Warrant exercise proceeds ($m)</t>
  </si>
  <si>
    <t xml:space="preserve">Counted as dilution; must also be credited as cash</t>
  </si>
  <si>
    <t xml:space="preserve">Convertible debt extinguished ($m)</t>
  </si>
  <si>
    <t xml:space="preserve">Converts to equity - removed from net debt, not repaid</t>
  </si>
  <si>
    <t xml:space="preserve">Q4 2027 cash trough ($m)</t>
  </si>
  <si>
    <t xml:space="preserve">Cash before any ATM draw ($m)</t>
  </si>
  <si>
    <t xml:space="preserve">ATM REQUIREMENT AND RESULTING SHARE COUNT</t>
  </si>
  <si>
    <t xml:space="preserve">ATM needed ($m)</t>
  </si>
  <si>
    <t xml:space="preserve">Issue price</t>
  </si>
  <si>
    <t xml:space="preserve">ATM shares (m)</t>
  </si>
  <si>
    <t xml:space="preserve">2028</t>
  </si>
  <si>
    <t xml:space="preserve">2030</t>
  </si>
  <si>
    <t xml:space="preserve">2032</t>
  </si>
  <si>
    <t xml:space="preserve">Equity comp adds ~1.5%/yr on outstanding (~18m per two-year step). No buyback assumed.</t>
  </si>
  <si>
    <t xml:space="preserve">Base and bull differ by only ~11m shares: once CF turns positive the ATM is a buffer, not a lifeline.</t>
  </si>
  <si>
    <t xml:space="preserve">Bear issues 183m shares for $550m because it must raise at $3. Bear-to-bull gap is 367m shares (29%) - driven by NEED, not sentiment.</t>
  </si>
  <si>
    <t xml:space="preserve">PRICE-CONTINGENCY TEST (the reason bear differs in KIND, not just degree)</t>
  </si>
  <si>
    <t xml:space="preserve">Instrument</t>
  </si>
  <si>
    <t xml:space="preserve">Strike / conv</t>
  </si>
  <si>
    <t xml:space="preserve">Shares (m)</t>
  </si>
  <si>
    <t xml:space="preserve">Cash if exercised</t>
  </si>
  <si>
    <t xml:space="preserve">Bear px range</t>
  </si>
  <si>
    <t xml:space="preserve">Bear outcome</t>
  </si>
  <si>
    <t xml:space="preserve">Warrants — Apr 2025</t>
  </si>
  <si>
    <t xml:space="preserve">$2.92-$3.19</t>
  </si>
  <si>
    <t xml:space="preserve">Below strike - EXPIRES WORTHLESS</t>
  </si>
  <si>
    <t xml:space="preserve">Warrants — Jul 2025</t>
  </si>
  <si>
    <t xml:space="preserve">Convertible note</t>
  </si>
  <si>
    <t xml:space="preserve">n/a - removes $480m debt</t>
  </si>
  <si>
    <t xml:space="preserve">Deep OTM. Holder will not convert; issuer cannot repay -&gt; renegotiated at ~$3.50 = 137.1m shares</t>
  </si>
  <si>
    <t xml:space="preserve">BEAR FULLY DILUTED — DIFFERENT COMPOSITION</t>
  </si>
  <si>
    <t xml:space="preserve">Outstanding</t>
  </si>
  <si>
    <t xml:space="preserve">Convertible renegotiated @ $3.50</t>
  </si>
  <si>
    <t xml:space="preserve">vs 88.4m at the stated $5.427 = 48.7m EXTRA dilution</t>
  </si>
  <si>
    <t xml:space="preserve">Warrants</t>
  </si>
  <si>
    <t xml:space="preserve">Both tranches expire unexercised below strike</t>
  </si>
  <si>
    <t xml:space="preserve">BEAR FULLY DILUTED BASE</t>
  </si>
  <si>
    <t xml:space="preserve">Bear warrant cash ($m)</t>
  </si>
  <si>
    <t xml:space="preserve">The $132.5m does NOT arrive in the one scenario where it is needed.</t>
  </si>
  <si>
    <t xml:space="preserve">Key asymmetry</t>
  </si>
  <si>
    <t xml:space="preserve">Dilution does not vanish when the stock falls - it changes form and worsens. Bear loses 41.5m warrant shares but gains 48.7m from a distressed convertible restructuring.</t>
  </si>
  <si>
    <t xml:space="preserve">Circularity resolved</t>
  </si>
  <si>
    <t xml:space="preserve">Bear prices ($2.92-$3.19) sit below both strikes ($3.101/$3.240), so "expires worthless" is internally consistent. Base ($6.74+) and bull ($12.19+) clear both strikes and the $5.427 conversion. No iteration needed.</t>
  </si>
  <si>
    <t xml:space="preserve">Liquidity impact</t>
  </si>
  <si>
    <t xml:space="preserve">Bear loses $132.5m of warrant proceeds AND must replace it via ATM at ~$3 - compounding the dilution.</t>
  </si>
  <si>
    <t xml:space="preserve">Scenario Summary ($m revenue)</t>
  </si>
  <si>
    <t xml:space="preserve">Bear/Bull are hardcoded reference points. Base links live to the Revenue Build tab.</t>
  </si>
  <si>
    <t xml:space="preserve">FY2026</t>
  </si>
  <si>
    <t xml:space="preserve">Probability</t>
  </si>
  <si>
    <t xml:space="preserve">Governing assumption</t>
  </si>
  <si>
    <t xml:space="preserve">QUILT-2.005 full readout ambiguous or effect collapses; standard review pushes approval to late-2028; payers impose BCG-alone step-through</t>
  </si>
  <si>
    <t xml:space="preserve">Papillary approved Jan 2027; QUILT-2.005 holds; naive approved Q4 2027; ~4.5% penetration in launch year on workflow advantage</t>
  </si>
  <si>
    <t xml:space="preserve">Clean QUILT-2.005 topline; priority review; NCCN inclusion; light prior auth; RMAT converts to a lymphopenia approval</t>
  </si>
  <si>
    <t xml:space="preserve">Probability-weighted</t>
  </si>
  <si>
    <t xml:space="preserve">Street consensus (approx.)</t>
  </si>
  <si>
    <t xml:space="preserve">5-6 contributing estimates; FY28 range $774m-$1,554m. Treat as an upward-skewed midpoint, not a clustering.</t>
  </si>
  <si>
    <t xml:space="preserve">SENSITIVITY — what breaks the model</t>
  </si>
  <si>
    <t xml:space="preserve">Revenue 15% below base</t>
  </si>
  <si>
    <t xml:space="preserve">Cash goes negative before breakeven; no trough, a wall</t>
  </si>
  <si>
    <t xml:space="preserve">OpEx grows 4%/qtr not 2.2%</t>
  </si>
  <si>
    <t xml:space="preserve">Also negative. Model depends on operating leverage holding</t>
  </si>
  <si>
    <t xml:space="preserve">QUILT-2.005 effect collapses</t>
  </si>
  <si>
    <t xml:space="preserve">BCG-naive line falls toward bear; FY28 toward $545m. The single largest swing.</t>
  </si>
  <si>
    <t xml:space="preserve">Standard review not priority</t>
  </si>
  <si>
    <t xml:space="preserve">Naive approval slips to late-2028; 2028 becomes a launch stub</t>
  </si>
  <si>
    <t xml:space="preserve">Gulf net price 50% of assumption</t>
  </si>
  <si>
    <t xml:space="preserve">Lymphopenia and MENA NSCLC lines roughly halve; immaterial to totals</t>
  </si>
  <si>
    <t xml:space="preserve">BCG supply relief slips</t>
  </si>
  <si>
    <t xml:space="preserve">Affects second-line funnel only. Does NOT gate the naive line — no incremental BCG consumed.</t>
  </si>
  <si>
    <t xml:space="preserve">LYMPHOPENIA CHANNEL — SEPARATE SCENARIO SET</t>
  </si>
  <si>
    <t xml:space="preserve">Regulatory status: FDA RMAT designation granted Feb 2025 for reversal of lymphopenia in patients on SOC chemo/radiotherapy.</t>
  </si>
  <si>
    <t xml:space="preserve">RMAT requires FDA to accept the condition as serious. No approved therapy exists anywhere. ALC is on every routine CBC.</t>
  </si>
  <si>
    <t xml:space="preserve">Constraint: demand-push market. No guideline recommends treating lymphopenia; adoption requires category creation.</t>
  </si>
  <si>
    <t xml:space="preserve">2027</t>
  </si>
  <si>
    <t xml:space="preserve">Requires</t>
  </si>
  <si>
    <t xml:space="preserve">Niche off-label only; no indication granted; 10-40 patients/yr</t>
  </si>
  <si>
    <t xml:space="preserve">Low hundreds of patients; off-label Gulf use throughout; no US approval</t>
  </si>
  <si>
    <t xml:space="preserve">RMAT converts to US approval in defined chemo/radio-induced lymphopenia population, or formal Gulf indication</t>
  </si>
  <si>
    <t xml:space="preserve">Early-adopter segment</t>
  </si>
  <si>
    <t xml:space="preserve">Radiation oncology — already modifies practice (proton, field reduction, vertebral sparing) to protect lymphocytes</t>
  </si>
  <si>
    <t xml:space="preserve">Cautionary precedent</t>
  </si>
  <si>
    <t xml:space="preserve">IL-7 (NT-I7, CYT107): raised ALC for a decade+, never proved survival benefit, never reached market</t>
  </si>
  <si>
    <t xml:space="preserve">Thesis-flipping threshold</t>
  </si>
  <si>
    <t xml:space="preserve">Randomized trial showing ALC correction improves survival or infection rate; then NCCN mention; then reimbursement</t>
  </si>
  <si>
    <t xml:space="preserve">Valuation — Sum of the Parts</t>
  </si>
  <si>
    <t xml:space="preserve">Commercial franchise on a revenue multiple + pipeline valued separately. Edit BLUE cells.</t>
  </si>
  <si>
    <t xml:space="preserve">Benchmark: CG Oncology carries ~$4.75bn EV on essentially zero revenue for ONE pre-commercial NMIBC asset.</t>
  </si>
  <si>
    <t xml:space="preserve">PIPELINE OPTIONALITY ($m)</t>
  </si>
  <si>
    <t xml:space="preserve">Programme</t>
  </si>
  <si>
    <t xml:space="preserve">BCG-naive NMIBC</t>
  </si>
  <si>
    <t xml:space="preserve">TAM 30,000+/yr vs 12-16k. Earlier data than creto (n=43 interim); IMFINZI approved. 40-60% of CGON value</t>
  </si>
  <si>
    <t xml:space="preserve">NSCLC (US/EU)</t>
  </si>
  <si>
    <t xml:space="preserve">ResQ201A reads 2028, approval 2029-30. Single-arm support, docetaxel comparator risk. ~30-35% PoS</t>
  </si>
  <si>
    <t xml:space="preserve">Lymphopenia (US)</t>
  </si>
  <si>
    <t xml:space="preserve">RMAT granted. No registrational trial. ALC surrogate unresolved. ~15-20% PoS</t>
  </si>
  <si>
    <t xml:space="preserve">Sepsis</t>
  </si>
  <si>
    <t xml:space="preserve">Ph2 n=50, reads Aug 2027. Hard mortality endpoint. Poor sector base rate</t>
  </si>
  <si>
    <t xml:space="preserve">NK platform + rBCG</t>
  </si>
  <si>
    <t xml:space="preserve">Fate/Nkarta both retreated. rBCG + Tokyo-172 = supply independence</t>
  </si>
  <si>
    <t xml:space="preserve">TOTAL PIPELINE</t>
  </si>
  <si>
    <t xml:space="preserve">BASE CASE</t>
  </si>
  <si>
    <t xml:space="preserve">FY</t>
  </si>
  <si>
    <t xml:space="preserve">Commercial rev ($m)</t>
  </si>
  <si>
    <t xml:space="preserve">Mult</t>
  </si>
  <si>
    <t xml:space="preserve">Commercial EV</t>
  </si>
  <si>
    <t xml:space="preserve">Pipeline</t>
  </si>
  <si>
    <t xml:space="preserve">Total EV</t>
  </si>
  <si>
    <t xml:space="preserve">Net cash/(debt)</t>
  </si>
  <si>
    <t xml:space="preserve">Equity</t>
  </si>
  <si>
    <t xml:space="preserve">FD shares (m)</t>
  </si>
  <si>
    <t xml:space="preserve">Price</t>
  </si>
  <si>
    <t xml:space="preserve">2026</t>
  </si>
  <si>
    <t xml:space="preserve">BEAR CASE</t>
  </si>
  <si>
    <t xml:space="preserve">BULL CASE</t>
  </si>
  <si>
    <t xml:space="preserve">SUMMARY — IMPLIED PRICE</t>
  </si>
  <si>
    <t xml:space="preserve">Current price</t>
  </si>
  <si>
    <t xml:space="preserve">Base 2032 / current</t>
  </si>
  <si>
    <t xml:space="preserve">HISTORICAL EV/SALES — WHY THE MULTIPLES SIT WHERE THEY DO</t>
  </si>
  <si>
    <t xml:space="preserve">Company</t>
  </si>
  <si>
    <t xml:space="preserve">Launch phase</t>
  </si>
  <si>
    <t xml:space="preserve">~$500m rev</t>
  </si>
  <si>
    <t xml:space="preserve">~$1bn rev</t>
  </si>
  <si>
    <t xml:space="preserve">Mature</t>
  </si>
  <si>
    <t xml:space="preserve">Neurocrine (Ingrezza)</t>
  </si>
  <si>
    <t xml:space="preserve">~56x (2017, $116m)</t>
  </si>
  <si>
    <t xml:space="preserve">~18x (2018, +252%)</t>
  </si>
  <si>
    <t xml:space="preserve">~10x (2020, +32%)</t>
  </si>
  <si>
    <t xml:space="preserve">4.6x (2025, +21%)</t>
  </si>
  <si>
    <t xml:space="preserve">Vertex (CF)</t>
  </si>
  <si>
    <t xml:space="preserve">~48x (2014, $580m)</t>
  </si>
  <si>
    <t xml:space="preserve">~29x (2015)</t>
  </si>
  <si>
    <t xml:space="preserve">~13x (2016)</t>
  </si>
  <si>
    <t xml:space="preserve">~9-10x today</t>
  </si>
  <si>
    <t xml:space="preserve">Alnylam (RNAi)</t>
  </si>
  <si>
    <t xml:space="preserve">~72x (2019, $194m)</t>
  </si>
  <si>
    <t xml:space="preserve">~30x (2020, +154%)</t>
  </si>
  <si>
    <t xml:space="preserve">~23x (2021-22)</t>
  </si>
  <si>
    <t xml:space="preserve">~15x (2024)</t>
  </si>
  <si>
    <t xml:space="preserve">Krystal (Vyjuvek)</t>
  </si>
  <si>
    <t xml:space="preserve">~40x (2023, $51m)</t>
  </si>
  <si>
    <t xml:space="preserve">~12-13x (2024, +473%)</t>
  </si>
  <si>
    <t xml:space="preserve">~13-16x (2025-26)</t>
  </si>
  <si>
    <t xml:space="preserve">profitability paused compression</t>
  </si>
  <si>
    <t xml:space="preserve">Why SOTP</t>
  </si>
  <si>
    <t xml:space="preserve">A single revenue multiple assigns near-zero value to unapproved programmes. CGON proves the market pays billions for exactly that. Single-multiple gave 2032 = $10.32; SOTP gives $19.32 on identical revenue and share assumptions.</t>
  </si>
  <si>
    <t xml:space="preserve">Commercial multiple</t>
  </si>
  <si>
    <t xml:space="preserve">Set to the MIDDLE of the historical range (40-72x at $200m rev; 12-30x at $500m; 9-15x mature), not below it. Vertex ~9-10x is the right mature analog for a 99%-margin franchise with exclusivity to 2036.</t>
  </si>
  <si>
    <t xml:space="preserve">Discount discipline</t>
  </si>
  <si>
    <t xml:space="preserve">IBRX discounts (going concern, 62-66% insider control, Oberland, FDA letter) applied ONCE. Do not stack a discount on a multiple already picked from the bottom of the range.</t>
  </si>
  <si>
    <t xml:space="preserve">Current price read</t>
  </si>
  <si>
    <t xml:space="preserve">2026 base SOTP $6.35 vs ~$8.00 market = ~25% premium. At 25x commercial (still in range) it is $7.55 = roughly fair.</t>
  </si>
  <si>
    <t xml:space="preserve">Biggest swing</t>
  </si>
  <si>
    <t xml:space="preserve">Commercial multiple and pipeline value, not revenue. Moving the 2032 multiple from 9x to 5x costs ~$7.50/share.</t>
  </si>
  <si>
    <t xml:space="preserve">Shares and net cash now flow from the Financing tab: ATM shares = cash needed / issue price; warrant proceeds and convertible extinguishment both credited.</t>
  </si>
  <si>
    <t xml:space="preserve">Primary Sources — verified 5 Aug 2026</t>
  </si>
  <si>
    <t xml:space="preserve">Every identifier retrieved from the originating document unless flagged. Full footnoted appendix appears in the PDF/HTML report.</t>
  </si>
  <si>
    <t xml:space="preserve">#</t>
  </si>
  <si>
    <t xml:space="preserve">Identifier / key language</t>
  </si>
  <si>
    <t xml:space="preserve">URL</t>
  </si>
  <si>
    <t xml:space="preserve">Form 10-Q, Q2 2026</t>
  </si>
  <si>
    <t xml:space="preserve">Acc. 0001326110-26-000079. Rev $50,672K; cash $75,670K + securities $281,701K; liabilities $1,674,265K; deficit $(1,046,629)K; 1,059,836,273 sh at 31 Jul</t>
  </si>
  <si>
    <t xml:space="preserve">https://www.sec.gov/Archives/edgar/data/1326110/000132611026000079/ibrx-20260630.htm</t>
  </si>
  <si>
    <t xml:space="preserve">Operating cash flow basis</t>
  </si>
  <si>
    <t xml:space="preserve">10-Q reports $(141,853)K for SIX months. The $66.5m quarterly figure is DERIVED (6mo less Q1 $75.4m), not a line item</t>
  </si>
  <si>
    <t xml:space="preserve">Nant Capital convertible note</t>
  </si>
  <si>
    <t xml:space="preserve">8-K 11 Dec 2024, acc. 0001193125-24-274871, Ex. 1.2: "$505.0 million note... due December 31, 2027... SOFR plus 8.0%... at a price per share equal to $5.427." Partial-conversion amendment acc. 0001326110-26-000014. Step-down to $480.0m acc. 0001193125-26-133363</t>
  </si>
  <si>
    <t xml:space="preserve">https://www.sec.gov/Archives/edgar/data/1326110/000119312524274871/0001193125-24-274871-index.htm</t>
  </si>
  <si>
    <t xml:space="preserve">Oberland RIPA 2nd Amendment</t>
  </si>
  <si>
    <t xml:space="preserve">8-K 30 Mar 2026: tiers raised to 5.625%-12.50% of ex-China net sales after $75m Third Payment (was 4.5%-10.0%); 2.8125% if $375m reached by 31 Dec 2029</t>
  </si>
  <si>
    <t xml:space="preserve">https://www.sec.gov/Archives/edgar/data/1326110/000119312526133363/d139829d8k.htm</t>
  </si>
  <si>
    <t xml:space="preserve">ANKTIVA FDA label</t>
  </si>
  <si>
    <t xml:space="preserve">BLA 761336. "For Intravesical Use Only. Do NOT administer by subcutaneous or intravenous or intramuscular routes." Systemic exposure below limit of quantitation</t>
  </si>
  <si>
    <t xml:space="preserve">https://www.accessdata.fda.gov/drugsatfda_docs/label/2024/761336s000lbl.pdf</t>
  </si>
  <si>
    <t xml:space="preserve">FDA warning letter</t>
  </si>
  <si>
    <t xml:space="preserve">MARCS-CMS 725468, 13 Mar 2026</t>
  </si>
  <si>
    <t xml:space="preserve">https://www.fda.gov/inspections-compliance-enforcement-and-criminal-investigations/warning-letters/immunitybio-inc-725468-03132026</t>
  </si>
  <si>
    <t xml:space="preserve">ANKTIVA EU authorisation</t>
  </si>
  <si>
    <t xml:space="preserve">MA No. EU/1/25/2002/001 (EPAR Annex I). Commission Implementing Decision C(2026) 1197 final, 16 Feb 2026. MAH: ImmunityBio Ireland Limited</t>
  </si>
  <si>
    <t xml:space="preserve">https://ec.europa.eu/health/documents/community-register/2026/20260216168608/dec_168608_en.pdf</t>
  </si>
  <si>
    <t xml:space="preserve">UAE registrations</t>
  </si>
  <si>
    <t xml:space="preserve">8-K acc. 0001326110-26-000071 Ex.99.1: 0.4mg intravesical No. 78609-45860-260486; 1.2mg subcutaneous No. 78609-1572-260487. Company-reported</t>
  </si>
  <si>
    <t xml:space="preserve">https://www.sec.gov/Archives/edgar/data/0001326110/000132611026000071/ibrx-20267308xkexhibit991.htm</t>
  </si>
  <si>
    <t xml:space="preserve">POTOMAC / IMFINZI</t>
  </si>
  <si>
    <t xml:space="preserve">Lancet 2025;406:2221-2234. DOI 10.1016/S0140-6736(25)01897-5. n=1,018; DFS HR 0.68 (95% CI 0.50-0.93, p=0.0154)</t>
  </si>
  <si>
    <t xml:space="preserve">https://doi.org/10.1016/S0140-6736(25)01897-5</t>
  </si>
  <si>
    <t xml:space="preserve">SunRISe-1 / INLEXZO</t>
  </si>
  <si>
    <t xml:space="preserve">J Clin Oncol 2025;43(33):3578-3588. DOI 10.1200/JCO-25-01651. PMID 40737582</t>
  </si>
  <si>
    <t xml:space="preserve">https://doi.org/10.1200/JCO-25-01651</t>
  </si>
  <si>
    <t xml:space="preserve">BOND-003 / cretostimogene</t>
  </si>
  <si>
    <t xml:space="preserve">Lancet Oncol 2026;27(8):983-993. DOI 10.1016/S1470-2045(26)00194-4</t>
  </si>
  <si>
    <t xml:space="preserve">https://doi.org/10.1016/S1470-2045(26)00194-4</t>
  </si>
  <si>
    <t xml:space="preserve">QUILT-3.032 pivotal</t>
  </si>
  <si>
    <t xml:space="preserve">NEJM Evid 2023;2(1). DOI 10.1056/EVIDoa2200167. NCT03022825</t>
  </si>
  <si>
    <t xml:space="preserve">https://evidence.nejm.org/doi/full/10.1056/EVIDoa2200167</t>
  </si>
  <si>
    <t xml:space="preserve">QUILT-2.005 BCG-naive</t>
  </si>
  <si>
    <t xml:space="preserve">NCT02138734. n=366 enrolled Feb 2026. Interim (43 evaluable) presented AUA 2024</t>
  </si>
  <si>
    <t xml:space="preserve">https://clinicaltrials.gov/study/NCT02138734</t>
  </si>
  <si>
    <t xml:space="preserve">SWOG S1602 (Tokyo-172)</t>
  </si>
  <si>
    <t xml:space="preserve">J Clin Oncol 2026;44(suppl 4) Abstract LBA629. DOI 10.1200/JCO.2026.44.7_suppl.LBA629. HR 0.82 (95.8% CI 0.63-1.08); 5-yr HG-RFS 64% v 58%</t>
  </si>
  <si>
    <t xml:space="preserve">https://ascopubs.org/doi/10.1200/JCO.2026.44.7_suppl.LBA629</t>
  </si>
  <si>
    <t xml:space="preserve">Guggenheim NMIBC report</t>
  </si>
  <si>
    <t xml:space="preserve">Divan V., "Biopharma: The NMIBC Revolution," 22 Sep 2025. ANKTIVA ~$1.1bn PoS-adjusted peak; cretostimogene $3.0bn; Inlexzo ~$4.6bn</t>
  </si>
  <si>
    <t xml:space="preserve">https://www.guggenheimsecurities.com/getattachment/cc009dff-e00f-4705-9a62-7489e22b8d52/Biopharma-The-NMIBC-Revolution.pdf</t>
  </si>
  <si>
    <t xml:space="preserve">Insider ownership</t>
  </si>
  <si>
    <t xml:space="preserve">DEF 14A acc. 0001326110-26-000049: "approximately 62.5%... as of the Record Date." 13D/A 66.3% is a broader 60-day measure</t>
  </si>
  <si>
    <t xml:space="preserve">https://www.sec.gov/Archives/edgar/data/1326110/000132611026000049/ibrx-20260429.htm</t>
  </si>
  <si>
    <t xml:space="preserve">Going concern (mitigated)</t>
  </si>
  <si>
    <t xml:space="preserve">Q1 2026 10-Q acc. 0001326110-26-000059: substantial doubt raised, then alleviated on founder support</t>
  </si>
  <si>
    <t xml:space="preserve">https://www.sec.gov/Archives/edgar/data/1326110/000132611026000059/ibrx-20260331.htm</t>
  </si>
  <si>
    <t xml:space="preserve">GLOBOCAN 2024</t>
  </si>
  <si>
    <t xml:space="preserve">Saudi Arabia 913 lung cancer cases; UAE 449. GLOBOCAN 2024 v1.0 released Jul 2026, supersedes 2022</t>
  </si>
  <si>
    <t xml:space="preserve">https://gco.iarc.who.int/media/globocan/factsheets/populations/682-saudi-arabia-fact-sheet.pdf</t>
  </si>
  <si>
    <t xml:space="preserve">NICE TA1163</t>
  </si>
  <si>
    <t xml:space="preserve">Terminated 4 Jun 2026; not recommended because no evidence submission was made</t>
  </si>
  <si>
    <t xml:space="preserve">https://www.nice.org.uk/guidance/ta1163</t>
  </si>
  <si>
    <t xml:space="preserve">Merck TICE BCG capacity</t>
  </si>
  <si>
    <t xml:space="preserve">&gt;$650m Durham investment, fully operational late 2026, capacity to triple; 600,000-870,000 vials/yr</t>
  </si>
  <si>
    <t xml:space="preserve">https://www.merck.com/stories/addressing-the-global-shortage-of-tice-bcg/</t>
  </si>
  <si>
    <t xml:space="preserve">ANKTIVA WAC</t>
  </si>
  <si>
    <t xml:space="preserve">The Medical Letter 1705e, Jun 2024: "$35,800" per dose</t>
  </si>
  <si>
    <t xml:space="preserve">https://secure.medicalletter.org/TML-article-1705e</t>
  </si>
  <si>
    <t xml:space="preserve">Securities class action</t>
  </si>
  <si>
    <t xml:space="preserve">Douglas v. ImmunityBio, No. 2:26-cv-03261 (C.D. Cal.). Class period 19 Jan - 24 Mar 2026</t>
  </si>
  <si>
    <t xml:space="preserve">https://www.ktmc.com/ibrx-immunitybio-inc-class-action-lawsuit/</t>
  </si>
  <si>
    <t xml:space="preserve">Sepsis trial</t>
  </si>
  <si>
    <t xml:space="preserve">NCT07578558. Ph2 randomised; est. start 6 Jul 2026, primary completion 3 Aug 2027</t>
  </si>
  <si>
    <t xml:space="preserve">https://clinicaltrials.gov/study/NCT07578558</t>
  </si>
  <si>
    <t xml:space="preserve">ResQ201A NSCLC Ph3</t>
  </si>
  <si>
    <t xml:space="preserve">NCT06745908. OS primary; enrolment ~460</t>
  </si>
  <si>
    <t xml:space="preserve">https://clinicaltrials.gov/study/NCT06745908</t>
  </si>
  <si>
    <t xml:space="preserve">rBCG as shortage-era edge</t>
  </si>
  <si>
    <t xml:space="preserve">8-K Ex.99.1 12 May 2025: growth "particularly since we addressed the BCG shortage with the launch of our rBCG EAP"; ~200 practices, "many of them in rural areas where patients otherwise would not have access"</t>
  </si>
  <si>
    <t xml:space="preserve">https://www.sec.gov/Archives/edgar/data/1326110/000132611025000069/ibrx-2025512x8kexhibit991.htm</t>
  </si>
  <si>
    <t xml:space="preserve">J-code inflection</t>
  </si>
  <si>
    <t xml:space="preserve">Same release: Q1 2025 "first quarter with a permanent J-code"; rev ~$16.5m, "a 129% increase over $7.2 million in Q4 2024"; units +150%</t>
  </si>
  <si>
    <t xml:space="preserve">Prescriber breadth</t>
  </si>
  <si>
    <t xml:space="preserve">Q3 2025 release, CEO Adcock: units "grew nearly 6X year-to-date... reflecting adoption both at leading research centers and in community urology clinics, including rural areas"</t>
  </si>
  <si>
    <t xml:space="preserve">https://immunitybio.com/driven-by-strong-demand-immunitybio-reports-467-year-to-date-unit-growth-and-75-million-in-sales-year-to-date-up-434-from-q3-2024/</t>
  </si>
  <si>
    <t xml:space="preserve">INLEXZO ramp</t>
  </si>
  <si>
    <t xml:space="preserve">J&amp;J Q2 2026 call, 15 Jul 2026. Taubert: INLEXZO "outperforming recent competitive launches, with one in three eligible patients starting on the regimen." No separate reported revenue line</t>
  </si>
  <si>
    <t xml:space="preserve">https://www.investor.jnj.com/investor-news/news-details/2026/Johnson--Johnson-reports-Q2-2026-results-raises-2026-outlook/default.aspx</t>
  </si>
  <si>
    <t xml:space="preserve">BCG reimbursement</t>
  </si>
  <si>
    <t xml:space="preserve">HCPCS J9030 $2.821/mg; ~50mg vial = $141.05 Part B. CPT 51720 billed separately</t>
  </si>
  <si>
    <t xml:space="preserve">https://www.cms.gov/medicare-coverage-database/view/article.aspx?articleId=56754</t>
  </si>
  <si>
    <t xml:space="preserve">51720 dose-independent</t>
  </si>
  <si>
    <t xml:space="preserve">"Reporting of code 51720 at full value is appropriate regardless of dose"</t>
  </si>
  <si>
    <t xml:space="preserve">https://info.prsnetwork.com/prs-alert-bcg-update-7-1-19/</t>
  </si>
  <si>
    <t xml:space="preserve">Pre-approval drug substance</t>
  </si>
  <si>
    <t xml:space="preserve">7 May 2024: DS "sufficient for 170,000 doses"; Dunkirk 400,000 sq ft, "a million vials annually"</t>
  </si>
  <si>
    <t xml:space="preserve">https://ir.immunitybio.com/news-releases/news-release-details/immunitybio-completes-gmp-drug-substance-manufacturing</t>
  </si>
</sst>
</file>

<file path=xl/styles.xml><?xml version="1.0" encoding="utf-8"?>
<styleSheet xmlns="http://schemas.openxmlformats.org/spreadsheetml/2006/main">
  <numFmts count="9">
    <numFmt numFmtId="164" formatCode="General"/>
    <numFmt numFmtId="165" formatCode="#,##0.0"/>
    <numFmt numFmtId="166" formatCode="#,##0"/>
    <numFmt numFmtId="167" formatCode="0.0%"/>
    <numFmt numFmtId="168" formatCode="#,##0.00"/>
    <numFmt numFmtId="169" formatCode="\$#,##0.0;&quot;($&quot;#,##0.0\);\-"/>
    <numFmt numFmtId="170" formatCode="\$#,##0;&quot;($&quot;#,##0\);\-"/>
    <numFmt numFmtId="171" formatCode="\$#,##0.00"/>
    <numFmt numFmtId="172" formatCode="0.0\x"/>
  </numFmts>
  <fonts count="16">
    <font>
      <sz val="11"/>
      <color theme="1"/>
      <name val="Calibri"/>
      <family val="2"/>
      <charset val="1"/>
    </font>
    <font>
      <sz val="10"/>
      <name val="Arial"/>
      <family val="0"/>
    </font>
    <font>
      <sz val="10"/>
      <name val="Arial"/>
      <family val="0"/>
    </font>
    <font>
      <sz val="10"/>
      <name val="Arial"/>
      <family val="0"/>
    </font>
    <font>
      <b val="true"/>
      <sz val="13"/>
      <name val="Arial"/>
      <family val="0"/>
      <charset val="1"/>
    </font>
    <font>
      <b val="true"/>
      <sz val="11"/>
      <name val="Arial"/>
      <family val="0"/>
      <charset val="1"/>
    </font>
    <font>
      <sz val="9"/>
      <name val="Arial"/>
      <family val="0"/>
      <charset val="1"/>
    </font>
    <font>
      <b val="true"/>
      <sz val="14"/>
      <name val="Arial"/>
      <family val="0"/>
      <charset val="1"/>
    </font>
    <font>
      <i val="true"/>
      <sz val="9"/>
      <color rgb="FF555555"/>
      <name val="Arial"/>
      <family val="0"/>
      <charset val="1"/>
    </font>
    <font>
      <b val="true"/>
      <sz val="10"/>
      <name val="Arial"/>
      <family val="0"/>
      <charset val="1"/>
    </font>
    <font>
      <sz val="10"/>
      <color rgb="FF0000FF"/>
      <name val="Arial"/>
      <family val="0"/>
      <charset val="1"/>
    </font>
    <font>
      <sz val="10"/>
      <name val="Arial"/>
      <family val="0"/>
      <charset val="1"/>
    </font>
    <font>
      <sz val="10"/>
      <color rgb="FF008000"/>
      <name val="Arial"/>
      <family val="0"/>
      <charset val="1"/>
    </font>
    <font>
      <b val="true"/>
      <sz val="10"/>
      <color rgb="FFFFFFFF"/>
      <name val="Arial"/>
      <family val="0"/>
      <charset val="1"/>
    </font>
    <font>
      <b val="true"/>
      <sz val="10"/>
      <color rgb="FF1E6B3A"/>
      <name val="Arial"/>
      <family val="0"/>
      <charset val="1"/>
    </font>
    <font>
      <b val="true"/>
      <sz val="10"/>
      <color rgb="FF9B2C2C"/>
      <name val="Arial"/>
      <family val="0"/>
      <charset val="1"/>
    </font>
  </fonts>
  <fills count="5">
    <fill>
      <patternFill patternType="none"/>
    </fill>
    <fill>
      <patternFill patternType="gray125"/>
    </fill>
    <fill>
      <patternFill patternType="solid">
        <fgColor rgb="FFFFFF99"/>
        <bgColor rgb="FFF2F2F2"/>
      </patternFill>
    </fill>
    <fill>
      <patternFill patternType="solid">
        <fgColor rgb="FF1F4E79"/>
        <bgColor rgb="FF003366"/>
      </patternFill>
    </fill>
    <fill>
      <patternFill patternType="solid">
        <fgColor rgb="FFF2F2F2"/>
        <bgColor rgb="FFFFFFFF"/>
      </patternFill>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54">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general" vertical="top" textRotation="0" wrapText="true" indent="0" shrinkToFit="false"/>
      <protection locked="true" hidden="false"/>
    </xf>
    <xf numFmtId="164" fontId="7" fillId="0" borderId="0" xfId="0" applyFont="true" applyBorder="false" applyAlignment="tru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12" fillId="0" borderId="0" xfId="0" applyFont="true" applyBorder="false" applyAlignment="true" applyProtection="false">
      <alignment horizontal="general" vertical="bottom" textRotation="0" wrapText="false" indent="0" shrinkToFit="false"/>
      <protection locked="true" hidden="false"/>
    </xf>
    <xf numFmtId="164" fontId="0" fillId="2" borderId="0" xfId="0" applyFont="true" applyBorder="false" applyAlignment="true" applyProtection="false">
      <alignment horizontal="general" vertical="bottom" textRotation="0" wrapText="false" indent="0" shrinkToFit="false"/>
      <protection locked="true" hidden="false"/>
    </xf>
    <xf numFmtId="164" fontId="13" fillId="3" borderId="0" xfId="0" applyFont="true" applyBorder="false" applyAlignment="true" applyProtection="false">
      <alignment horizontal="general" vertical="bottom" textRotation="0" wrapText="false" indent="0" shrinkToFit="false"/>
      <protection locked="true" hidden="false"/>
    </xf>
    <xf numFmtId="165" fontId="10" fillId="0" borderId="0" xfId="0" applyFont="true" applyBorder="false" applyAlignment="true" applyProtection="false">
      <alignment horizontal="general" vertical="bottom" textRotation="0" wrapText="false" indent="0" shrinkToFit="false"/>
      <protection locked="true" hidden="false"/>
    </xf>
    <xf numFmtId="166" fontId="10" fillId="0" borderId="0" xfId="0" applyFont="true" applyBorder="false" applyAlignment="true" applyProtection="false">
      <alignment horizontal="general" vertical="bottom" textRotation="0" wrapText="false" indent="0" shrinkToFit="false"/>
      <protection locked="true" hidden="false"/>
    </xf>
    <xf numFmtId="167" fontId="10" fillId="0" borderId="0" xfId="0" applyFont="true" applyBorder="false" applyAlignment="true" applyProtection="false">
      <alignment horizontal="general" vertical="bottom" textRotation="0" wrapText="false" indent="0" shrinkToFit="false"/>
      <protection locked="true" hidden="false"/>
    </xf>
    <xf numFmtId="165" fontId="10" fillId="2" borderId="0" xfId="0" applyFont="true" applyBorder="false" applyAlignment="true" applyProtection="false">
      <alignment horizontal="general" vertical="bottom" textRotation="0" wrapText="false" indent="0" shrinkToFit="false"/>
      <protection locked="true" hidden="false"/>
    </xf>
    <xf numFmtId="166" fontId="11" fillId="0" borderId="0" xfId="0" applyFont="true" applyBorder="false" applyAlignment="true" applyProtection="false">
      <alignment horizontal="general" vertical="bottom" textRotation="0" wrapText="false" indent="0" shrinkToFit="false"/>
      <protection locked="true" hidden="false"/>
    </xf>
    <xf numFmtId="167" fontId="10" fillId="2" borderId="0" xfId="0" applyFont="true" applyBorder="false" applyAlignment="true" applyProtection="false">
      <alignment horizontal="general" vertical="bottom" textRotation="0" wrapText="false" indent="0" shrinkToFit="false"/>
      <protection locked="true" hidden="false"/>
    </xf>
    <xf numFmtId="168" fontId="10" fillId="0" borderId="0" xfId="0" applyFont="true" applyBorder="false" applyAlignment="true" applyProtection="false">
      <alignment horizontal="general" vertical="bottom" textRotation="0" wrapText="false" indent="0" shrinkToFit="false"/>
      <protection locked="true" hidden="false"/>
    </xf>
    <xf numFmtId="169" fontId="10" fillId="0" borderId="0" xfId="0" applyFont="true" applyBorder="false" applyAlignment="true" applyProtection="false">
      <alignment horizontal="general" vertical="bottom" textRotation="0" wrapText="false" indent="0" shrinkToFit="false"/>
      <protection locked="true" hidden="false"/>
    </xf>
    <xf numFmtId="164" fontId="13" fillId="3" borderId="0" xfId="0" applyFont="true" applyBorder="false" applyAlignment="true" applyProtection="false">
      <alignment horizontal="center" vertical="bottom" textRotation="0" wrapText="false" indent="0" shrinkToFit="false"/>
      <protection locked="true" hidden="false"/>
    </xf>
    <xf numFmtId="169" fontId="9" fillId="4" borderId="0" xfId="0" applyFont="true" applyBorder="false" applyAlignment="true" applyProtection="false">
      <alignment horizontal="general" vertical="bottom" textRotation="0" wrapText="false" indent="0" shrinkToFit="false"/>
      <protection locked="true" hidden="false"/>
    </xf>
    <xf numFmtId="169" fontId="0" fillId="0" borderId="0" xfId="0" applyFont="false" applyBorder="false" applyAlignment="true" applyProtection="false">
      <alignment horizontal="general" vertical="bottom" textRotation="0" wrapText="false" indent="0" shrinkToFit="false"/>
      <protection locked="true" hidden="false"/>
    </xf>
    <xf numFmtId="167" fontId="11" fillId="0" borderId="0" xfId="0" applyFont="true" applyBorder="false" applyAlignment="true" applyProtection="false">
      <alignment horizontal="general" vertical="bottom" textRotation="0" wrapText="false" indent="0" shrinkToFit="false"/>
      <protection locked="true" hidden="false"/>
    </xf>
    <xf numFmtId="169" fontId="11"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false" applyBorder="true" applyAlignment="true" applyProtection="false">
      <alignment horizontal="general" vertical="bottom" textRotation="0" wrapText="false" indent="0" shrinkToFit="false"/>
      <protection locked="true" hidden="false"/>
    </xf>
    <xf numFmtId="164" fontId="8" fillId="0" borderId="0" xfId="0" applyFont="true" applyBorder="true" applyAlignment="true" applyProtection="false">
      <alignment horizontal="general" vertical="bottom" textRotation="0" wrapText="false" indent="0" shrinkToFit="false"/>
      <protection locked="true" hidden="false"/>
    </xf>
    <xf numFmtId="164" fontId="9" fillId="3" borderId="0" xfId="0" applyFont="true" applyBorder="false" applyAlignment="true" applyProtection="false">
      <alignment horizontal="center" vertical="bottom" textRotation="0" wrapText="true" indent="0" shrinkToFit="false"/>
      <protection locked="true" hidden="false"/>
    </xf>
    <xf numFmtId="164" fontId="8" fillId="3" borderId="0" xfId="0" applyFont="true" applyBorder="false" applyAlignment="true" applyProtection="false">
      <alignment horizontal="center" vertical="bottom" textRotation="0" wrapText="true" indent="0" shrinkToFit="false"/>
      <protection locked="true" hidden="false"/>
    </xf>
    <xf numFmtId="164" fontId="13" fillId="3" borderId="0" xfId="0" applyFont="true" applyBorder="false" applyAlignment="true" applyProtection="false">
      <alignment horizontal="center" vertical="bottom" textRotation="0" wrapText="true" indent="0" shrinkToFit="false"/>
      <protection locked="true" hidden="false"/>
    </xf>
    <xf numFmtId="169" fontId="13" fillId="3" borderId="0" xfId="0" applyFont="true" applyBorder="false" applyAlignment="true" applyProtection="false">
      <alignment horizontal="general" vertical="bottom" textRotation="0" wrapText="false" indent="0" shrinkToFit="false"/>
      <protection locked="true" hidden="false"/>
    </xf>
    <xf numFmtId="169" fontId="14" fillId="0" borderId="0" xfId="0" applyFont="true" applyBorder="false" applyAlignment="true" applyProtection="false">
      <alignment horizontal="general" vertical="bottom" textRotation="0" wrapText="false" indent="0" shrinkToFit="false"/>
      <protection locked="true" hidden="false"/>
    </xf>
    <xf numFmtId="169" fontId="0" fillId="4" borderId="0" xfId="0" applyFont="false" applyBorder="false" applyAlignment="true" applyProtection="false">
      <alignment horizontal="general" vertical="bottom" textRotation="0" wrapText="fals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69" fontId="12" fillId="0" borderId="0" xfId="0" applyFont="true" applyBorder="false" applyAlignment="true" applyProtection="false">
      <alignment horizontal="general" vertical="bottom" textRotation="0" wrapText="false" indent="0" shrinkToFit="false"/>
      <protection locked="true" hidden="false"/>
    </xf>
    <xf numFmtId="169" fontId="9" fillId="0" borderId="0" xfId="0" applyFont="true" applyBorder="false" applyAlignment="true" applyProtection="false">
      <alignment horizontal="general" vertical="bottom" textRotation="0" wrapText="false" indent="0" shrinkToFit="false"/>
      <protection locked="true" hidden="false"/>
    </xf>
    <xf numFmtId="169" fontId="9" fillId="2" borderId="0" xfId="0" applyFont="true" applyBorder="false" applyAlignment="true" applyProtection="false">
      <alignment horizontal="general" vertical="bottom" textRotation="0" wrapText="false" indent="0" shrinkToFit="false"/>
      <protection locked="true" hidden="false"/>
    </xf>
    <xf numFmtId="165" fontId="9" fillId="4" borderId="0" xfId="0" applyFont="true" applyBorder="false" applyAlignment="true" applyProtection="false">
      <alignment horizontal="general" vertical="bottom" textRotation="0" wrapText="false" indent="0" shrinkToFit="false"/>
      <protection locked="true" hidden="false"/>
    </xf>
    <xf numFmtId="170" fontId="0" fillId="0" borderId="0" xfId="0" applyFont="false" applyBorder="false" applyAlignment="true" applyProtection="false">
      <alignment horizontal="general" vertical="bottom" textRotation="0" wrapText="false" indent="0" shrinkToFit="false"/>
      <protection locked="true" hidden="false"/>
    </xf>
    <xf numFmtId="170" fontId="10" fillId="0" borderId="0" xfId="0" applyFont="true" applyBorder="false" applyAlignment="true" applyProtection="false">
      <alignment horizontal="general" vertical="bottom" textRotation="0" wrapText="false" indent="0" shrinkToFit="false"/>
      <protection locked="true" hidden="false"/>
    </xf>
    <xf numFmtId="170" fontId="9" fillId="2" borderId="0" xfId="0" applyFont="true" applyBorder="false" applyAlignment="true" applyProtection="false">
      <alignment horizontal="general" vertical="bottom" textRotation="0" wrapText="false" indent="0" shrinkToFit="false"/>
      <protection locked="true" hidden="false"/>
    </xf>
    <xf numFmtId="171" fontId="10"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xf numFmtId="165" fontId="0" fillId="2" borderId="0" xfId="0" applyFont="false" applyBorder="false" applyAlignment="true" applyProtection="false">
      <alignment horizontal="general" vertical="bottom" textRotation="0" wrapText="false" indent="0" shrinkToFit="false"/>
      <protection locked="true" hidden="false"/>
    </xf>
    <xf numFmtId="164" fontId="15" fillId="0" borderId="0" xfId="0" applyFont="true" applyBorder="false" applyAlignment="true" applyProtection="false">
      <alignment horizontal="general" vertical="bottom" textRotation="0" wrapText="false" indent="0" shrinkToFit="false"/>
      <protection locked="true" hidden="false"/>
    </xf>
    <xf numFmtId="165" fontId="9" fillId="2" borderId="0" xfId="0" applyFont="true" applyBorder="false" applyAlignment="true" applyProtection="false">
      <alignment horizontal="general" vertical="bottom" textRotation="0" wrapText="false" indent="0" shrinkToFit="false"/>
      <protection locked="true" hidden="false"/>
    </xf>
    <xf numFmtId="170" fontId="15" fillId="0" borderId="0" xfId="0" applyFont="true" applyBorder="false" applyAlignment="true" applyProtection="false">
      <alignment horizontal="general" vertical="bottom" textRotation="0" wrapText="false" indent="0" shrinkToFit="false"/>
      <protection locked="true" hidden="false"/>
    </xf>
    <xf numFmtId="170" fontId="9" fillId="4" borderId="0" xfId="0" applyFont="true" applyBorder="false" applyAlignment="true" applyProtection="false">
      <alignment horizontal="general" vertical="bottom" textRotation="0" wrapText="false" indent="0" shrinkToFit="false"/>
      <protection locked="true" hidden="false"/>
    </xf>
    <xf numFmtId="172" fontId="10" fillId="0" borderId="0" xfId="0" applyFont="true" applyBorder="false" applyAlignment="true" applyProtection="false">
      <alignment horizontal="general" vertical="bottom" textRotation="0" wrapText="false" indent="0" shrinkToFit="false"/>
      <protection locked="true" hidden="false"/>
    </xf>
    <xf numFmtId="171" fontId="9" fillId="2" borderId="0" xfId="0" applyFont="true" applyBorder="false" applyAlignment="true" applyProtection="false">
      <alignment horizontal="general" vertical="bottom" textRotation="0" wrapText="false" indent="0" shrinkToFit="false"/>
      <protection locked="true" hidden="false"/>
    </xf>
    <xf numFmtId="171" fontId="0" fillId="0" borderId="0" xfId="0" applyFont="false" applyBorder="false" applyAlignment="true" applyProtection="false">
      <alignment horizontal="general" vertical="bottom" textRotation="0" wrapText="false" indent="0" shrinkToFit="false"/>
      <protection locked="true" hidden="false"/>
    </xf>
    <xf numFmtId="171" fontId="0" fillId="4" borderId="0" xfId="0" applyFont="false" applyBorder="false" applyAlignment="true" applyProtection="false">
      <alignment horizontal="general" vertical="bottom" textRotation="0" wrapText="false" indent="0" shrinkToFit="false"/>
      <protection locked="true" hidden="false"/>
    </xf>
    <xf numFmtId="172" fontId="0" fillId="0" borderId="0" xfId="0" applyFont="fals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E6B3A"/>
      <rgbColor rgb="FFC0C0C0"/>
      <rgbColor rgb="FF808080"/>
      <rgbColor rgb="FF9999FF"/>
      <rgbColor rgb="FF993366"/>
      <rgbColor rgb="FFF2F2F2"/>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555555"/>
      <rgbColor rgb="FF969696"/>
      <rgbColor rgb="FF003366"/>
      <rgbColor rgb="FF339966"/>
      <rgbColor rgb="FF003300"/>
      <rgbColor rgb="FF333300"/>
      <rgbColor rgb="FF9B2C2C"/>
      <rgbColor rgb="FF993366"/>
      <rgbColor rgb="FF1F4E7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2"/>
    <col collapsed="false" customWidth="true" hidden="false" outlineLevel="0" max="8" min="2" style="1" width="17"/>
  </cols>
  <sheetData>
    <row r="1" customFormat="false" ht="15.75" hidden="false" customHeight="true" outlineLevel="0" collapsed="false">
      <c r="A1" s="2" t="s">
        <v>0</v>
      </c>
    </row>
    <row r="3" customFormat="false" ht="15" hidden="false" customHeight="true" outlineLevel="0" collapsed="false">
      <c r="A3" s="3" t="s">
        <v>1</v>
      </c>
    </row>
    <row r="4" customFormat="false" ht="57.75" hidden="false" customHeight="true" outlineLevel="0" collapsed="false">
      <c r="A4" s="4" t="s">
        <v>2</v>
      </c>
      <c r="B4" s="4"/>
      <c r="C4" s="4"/>
      <c r="D4" s="4"/>
      <c r="E4" s="4"/>
      <c r="F4" s="4"/>
      <c r="G4" s="4"/>
      <c r="H4" s="4"/>
    </row>
    <row r="5" customFormat="false" ht="15" hidden="false" customHeight="true" outlineLevel="0" collapsed="false">
      <c r="A5" s="3" t="s">
        <v>3</v>
      </c>
    </row>
    <row r="6" customFormat="false" ht="57.75" hidden="false" customHeight="true" outlineLevel="0" collapsed="false">
      <c r="A6" s="4" t="s">
        <v>4</v>
      </c>
      <c r="B6" s="4"/>
      <c r="C6" s="4"/>
      <c r="D6" s="4"/>
      <c r="E6" s="4"/>
      <c r="F6" s="4"/>
      <c r="G6" s="4"/>
      <c r="H6" s="4"/>
    </row>
    <row r="7" customFormat="false" ht="15" hidden="false" customHeight="true" outlineLevel="0" collapsed="false">
      <c r="A7" s="3" t="s">
        <v>5</v>
      </c>
    </row>
    <row r="8" customFormat="false" ht="57.75" hidden="false" customHeight="true" outlineLevel="0" collapsed="false">
      <c r="A8" s="4" t="s">
        <v>6</v>
      </c>
      <c r="B8" s="4"/>
      <c r="C8" s="4"/>
      <c r="D8" s="4"/>
      <c r="E8" s="4"/>
      <c r="F8" s="4"/>
      <c r="G8" s="4"/>
      <c r="H8" s="4"/>
    </row>
    <row r="9" customFormat="false" ht="15" hidden="false" customHeight="true" outlineLevel="0" collapsed="false">
      <c r="A9" s="3" t="s">
        <v>7</v>
      </c>
    </row>
    <row r="10" customFormat="false" ht="57.75" hidden="false" customHeight="true" outlineLevel="0" collapsed="false">
      <c r="A10" s="4" t="s">
        <v>8</v>
      </c>
      <c r="B10" s="4"/>
      <c r="C10" s="4"/>
      <c r="D10" s="4"/>
      <c r="E10" s="4"/>
      <c r="F10" s="4"/>
      <c r="G10" s="4"/>
      <c r="H10" s="4"/>
    </row>
    <row r="11" customFormat="false" ht="15" hidden="false" customHeight="true" outlineLevel="0" collapsed="false">
      <c r="A11" s="3" t="s">
        <v>9</v>
      </c>
    </row>
    <row r="12" customFormat="false" ht="57.75" hidden="false" customHeight="true" outlineLevel="0" collapsed="false">
      <c r="A12" s="4" t="s">
        <v>10</v>
      </c>
      <c r="B12" s="4"/>
      <c r="C12" s="4"/>
      <c r="D12" s="4"/>
      <c r="E12" s="4"/>
      <c r="F12" s="4"/>
      <c r="G12" s="4"/>
      <c r="H12" s="4"/>
    </row>
  </sheetData>
  <mergeCells count="5">
    <mergeCell ref="A4:H4"/>
    <mergeCell ref="A6:H6"/>
    <mergeCell ref="A8:H8"/>
    <mergeCell ref="A10:H10"/>
    <mergeCell ref="A12:H1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2"/>
    <col collapsed="false" customWidth="true" hidden="false" outlineLevel="0" max="2" min="2" style="1" width="16"/>
    <col collapsed="false" customWidth="true" hidden="false" outlineLevel="0" max="3" min="3" style="1" width="62"/>
  </cols>
  <sheetData>
    <row r="1" customFormat="false" ht="17.25" hidden="false" customHeight="true" outlineLevel="0" collapsed="false">
      <c r="A1" s="5" t="s">
        <v>11</v>
      </c>
    </row>
    <row r="2" customFormat="false" ht="15" hidden="false" customHeight="true" outlineLevel="0" collapsed="false">
      <c r="A2" s="6" t="s">
        <v>12</v>
      </c>
    </row>
    <row r="3" customFormat="false" ht="15" hidden="false" customHeight="true" outlineLevel="0" collapsed="false">
      <c r="A3" s="6" t="s">
        <v>13</v>
      </c>
    </row>
    <row r="4" customFormat="false" ht="15" hidden="false" customHeight="true" outlineLevel="0" collapsed="false"/>
    <row r="5" customFormat="false" ht="15" hidden="false" customHeight="true" outlineLevel="0" collapsed="false">
      <c r="A5" s="7" t="s">
        <v>14</v>
      </c>
    </row>
    <row r="6" customFormat="false" ht="15" hidden="false" customHeight="true" outlineLevel="0" collapsed="false">
      <c r="A6" s="8" t="s">
        <v>15</v>
      </c>
      <c r="B6" s="9" t="s">
        <v>16</v>
      </c>
    </row>
    <row r="7" customFormat="false" ht="15" hidden="false" customHeight="true" outlineLevel="0" collapsed="false">
      <c r="A7" s="9" t="s">
        <v>17</v>
      </c>
      <c r="B7" s="9" t="s">
        <v>18</v>
      </c>
    </row>
    <row r="8" customFormat="false" ht="15" hidden="false" customHeight="true" outlineLevel="0" collapsed="false">
      <c r="A8" s="10" t="s">
        <v>19</v>
      </c>
      <c r="B8" s="9" t="s">
        <v>20</v>
      </c>
    </row>
    <row r="9" customFormat="false" ht="15" hidden="false" customHeight="true" outlineLevel="0" collapsed="false">
      <c r="A9" s="11" t="s">
        <v>21</v>
      </c>
      <c r="B9" s="9" t="s">
        <v>22</v>
      </c>
    </row>
    <row r="10" customFormat="false" ht="15" hidden="false" customHeight="true" outlineLevel="0" collapsed="false"/>
    <row r="11" customFormat="false" ht="15" hidden="false" customHeight="true" outlineLevel="0" collapsed="false">
      <c r="A11" s="12" t="s">
        <v>23</v>
      </c>
      <c r="B11" s="12" t="s">
        <v>24</v>
      </c>
      <c r="C11" s="12" t="s">
        <v>25</v>
      </c>
    </row>
    <row r="12" customFormat="false" ht="15" hidden="false" customHeight="true" outlineLevel="0" collapsed="false">
      <c r="A12" s="9" t="s">
        <v>26</v>
      </c>
      <c r="B12" s="13" t="n">
        <v>50.7</v>
      </c>
      <c r="C12" s="6" t="s">
        <v>27</v>
      </c>
    </row>
    <row r="13" customFormat="false" ht="15" hidden="false" customHeight="true" outlineLevel="0" collapsed="false">
      <c r="A13" s="9" t="s">
        <v>28</v>
      </c>
      <c r="B13" s="13" t="n">
        <v>112.9</v>
      </c>
      <c r="C13" s="6" t="s">
        <v>29</v>
      </c>
    </row>
    <row r="14" customFormat="false" ht="15" hidden="false" customHeight="true" outlineLevel="0" collapsed="false">
      <c r="A14" s="9" t="s">
        <v>30</v>
      </c>
      <c r="B14" s="13" t="n">
        <v>66.5</v>
      </c>
      <c r="C14" s="6" t="s">
        <v>31</v>
      </c>
    </row>
    <row r="15" customFormat="false" ht="15" hidden="false" customHeight="true" outlineLevel="0" collapsed="false">
      <c r="A15" s="9" t="s">
        <v>32</v>
      </c>
      <c r="B15" s="13" t="n">
        <v>357.4</v>
      </c>
      <c r="C15" s="6" t="s">
        <v>33</v>
      </c>
    </row>
    <row r="16" customFormat="false" ht="15" hidden="false" customHeight="true" outlineLevel="0" collapsed="false">
      <c r="A16" s="9" t="s">
        <v>34</v>
      </c>
      <c r="B16" s="14" t="n">
        <v>1059.8</v>
      </c>
      <c r="C16" s="6" t="s">
        <v>35</v>
      </c>
    </row>
    <row r="17" customFormat="false" ht="15" hidden="false" customHeight="true" outlineLevel="0" collapsed="false">
      <c r="A17" s="9" t="s">
        <v>36</v>
      </c>
      <c r="B17" s="14" t="n">
        <v>35800</v>
      </c>
      <c r="C17" s="6" t="s">
        <v>37</v>
      </c>
    </row>
    <row r="18" customFormat="false" ht="15" hidden="false" customHeight="true" outlineLevel="0" collapsed="false">
      <c r="A18" s="9" t="s">
        <v>38</v>
      </c>
      <c r="B18" s="15" t="n">
        <v>0.17</v>
      </c>
      <c r="C18" s="6" t="s">
        <v>39</v>
      </c>
    </row>
    <row r="19" customFormat="false" ht="15" hidden="false" customHeight="true" outlineLevel="0" collapsed="false">
      <c r="A19" s="9" t="s">
        <v>40</v>
      </c>
      <c r="B19" s="16" t="n">
        <v>12.8</v>
      </c>
      <c r="C19" s="6" t="s">
        <v>41</v>
      </c>
    </row>
    <row r="20" customFormat="false" ht="15" hidden="false" customHeight="true" outlineLevel="0" collapsed="false"/>
    <row r="21" customFormat="false" ht="15" hidden="false" customHeight="true" outlineLevel="0" collapsed="false">
      <c r="A21" s="12" t="s">
        <v>42</v>
      </c>
      <c r="B21" s="12" t="s">
        <v>24</v>
      </c>
    </row>
    <row r="22" customFormat="false" ht="15" hidden="false" customHeight="true" outlineLevel="0" collapsed="false">
      <c r="A22" s="9" t="s">
        <v>43</v>
      </c>
      <c r="B22" s="17" t="n">
        <f aca="false">B17*(1-B18)</f>
        <v>29714</v>
      </c>
    </row>
    <row r="23" customFormat="false" ht="15" hidden="false" customHeight="true" outlineLevel="0" collapsed="false">
      <c r="A23" s="9" t="s">
        <v>44</v>
      </c>
      <c r="B23" s="17" t="n">
        <f aca="false">B22*B19</f>
        <v>380339.2</v>
      </c>
    </row>
    <row r="24" customFormat="false" ht="15" hidden="false" customHeight="true" outlineLevel="0" collapsed="false">
      <c r="A24" s="9" t="s">
        <v>45</v>
      </c>
      <c r="B24" s="17" t="n">
        <f aca="false">B12*1000000/B22</f>
        <v>1706.26640640775</v>
      </c>
    </row>
    <row r="25" customFormat="false" ht="15" hidden="false" customHeight="true" outlineLevel="0" collapsed="false">
      <c r="A25" s="9" t="s">
        <v>46</v>
      </c>
      <c r="B25" s="17" t="n">
        <f aca="false">B24/B19</f>
        <v>133.302063000606</v>
      </c>
    </row>
    <row r="26" customFormat="false" ht="15" hidden="false" customHeight="true" outlineLevel="0" collapsed="false"/>
    <row r="27" customFormat="false" ht="15" hidden="false" customHeight="true" outlineLevel="0" collapsed="false">
      <c r="A27" s="12" t="s">
        <v>47</v>
      </c>
      <c r="B27" s="12" t="s">
        <v>24</v>
      </c>
      <c r="C27" s="12" t="s">
        <v>48</v>
      </c>
    </row>
    <row r="28" customFormat="false" ht="15" hidden="false" customHeight="true" outlineLevel="0" collapsed="false">
      <c r="A28" s="9" t="s">
        <v>49</v>
      </c>
      <c r="B28" s="18" t="n">
        <v>0.022</v>
      </c>
      <c r="C28" s="6" t="s">
        <v>50</v>
      </c>
    </row>
    <row r="29" customFormat="false" ht="15" hidden="false" customHeight="true" outlineLevel="0" collapsed="false">
      <c r="A29" s="9" t="s">
        <v>51</v>
      </c>
      <c r="B29" s="19" t="n">
        <v>20.5</v>
      </c>
      <c r="C29" s="6" t="s">
        <v>52</v>
      </c>
    </row>
    <row r="30" customFormat="false" ht="15" hidden="false" customHeight="true" outlineLevel="0" collapsed="false">
      <c r="A30" s="9" t="s">
        <v>53</v>
      </c>
      <c r="B30" s="19" t="n">
        <v>0.5</v>
      </c>
      <c r="C30" s="6" t="s">
        <v>54</v>
      </c>
    </row>
    <row r="31" customFormat="false" ht="15" hidden="false" customHeight="true" outlineLevel="0" collapsed="false">
      <c r="A31" s="9" t="s">
        <v>55</v>
      </c>
      <c r="B31" s="19" t="n">
        <v>16</v>
      </c>
      <c r="C31" s="6" t="s">
        <v>56</v>
      </c>
    </row>
    <row r="32" customFormat="false" ht="15" hidden="false" customHeight="true" outlineLevel="0" collapsed="false">
      <c r="A32" s="9" t="s">
        <v>57</v>
      </c>
      <c r="B32" s="19" t="n">
        <v>0.33</v>
      </c>
      <c r="C32" s="6" t="s">
        <v>54</v>
      </c>
    </row>
    <row r="33" customFormat="false" ht="15" hidden="false" customHeight="true" outlineLevel="0" collapsed="false"/>
    <row r="34" customFormat="false" ht="15" hidden="false" customHeight="true" outlineLevel="0" collapsed="false">
      <c r="A34" s="12" t="s">
        <v>58</v>
      </c>
      <c r="B34" s="12" t="s">
        <v>59</v>
      </c>
      <c r="C34" s="12" t="s">
        <v>48</v>
      </c>
    </row>
    <row r="35" customFormat="false" ht="15" hidden="false" customHeight="true" outlineLevel="0" collapsed="false">
      <c r="A35" s="9" t="s">
        <v>60</v>
      </c>
      <c r="B35" s="20" t="n">
        <v>132.5</v>
      </c>
      <c r="C35" s="6" t="s">
        <v>61</v>
      </c>
    </row>
    <row r="36" customFormat="false" ht="15" hidden="false" customHeight="true" outlineLevel="0" collapsed="false">
      <c r="A36" s="9" t="s">
        <v>62</v>
      </c>
      <c r="B36" s="20" t="n">
        <v>349</v>
      </c>
      <c r="C36" s="6" t="s">
        <v>63</v>
      </c>
    </row>
    <row r="37" customFormat="false" ht="15" hidden="false" customHeight="true" outlineLevel="0" collapsed="false">
      <c r="A37" s="9" t="s">
        <v>64</v>
      </c>
      <c r="B37" s="20" t="n">
        <v>480</v>
      </c>
      <c r="C37" s="6" t="s">
        <v>65</v>
      </c>
    </row>
    <row r="39" customFormat="false" ht="15" hidden="false" customHeight="true" outlineLevel="0" collapsed="false"/>
    <row r="40" customFormat="false" ht="15" hidden="false" customHeight="true" outlineLevel="0" collapsed="false"/>
    <row r="41" customFormat="false" ht="15" hidden="false" customHeight="true" outlineLevel="0" collapsed="false"/>
    <row r="42" customFormat="false" ht="1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8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11" min="2" style="1" width="10"/>
    <col collapsed="false" customWidth="true" hidden="false" outlineLevel="0" max="12" min="12" style="1" width="64"/>
  </cols>
  <sheetData>
    <row r="1" customFormat="false" ht="17.25" hidden="false" customHeight="true" outlineLevel="0" collapsed="false">
      <c r="A1" s="5" t="s">
        <v>66</v>
      </c>
    </row>
    <row r="2" customFormat="false" ht="15" hidden="false" customHeight="true" outlineLevel="0" collapsed="false">
      <c r="A2" s="6" t="s">
        <v>67</v>
      </c>
    </row>
    <row r="4" customFormat="false" ht="15" hidden="false" customHeight="true" outlineLevel="0" collapsed="false">
      <c r="A4" s="12" t="s">
        <v>68</v>
      </c>
      <c r="B4" s="21" t="s">
        <v>69</v>
      </c>
      <c r="C4" s="21" t="s">
        <v>70</v>
      </c>
      <c r="D4" s="21" t="s">
        <v>71</v>
      </c>
      <c r="E4" s="21" t="s">
        <v>72</v>
      </c>
      <c r="F4" s="21" t="s">
        <v>73</v>
      </c>
      <c r="G4" s="21" t="s">
        <v>74</v>
      </c>
      <c r="H4" s="21" t="s">
        <v>75</v>
      </c>
      <c r="I4" s="21" t="s">
        <v>76</v>
      </c>
      <c r="J4" s="21" t="s">
        <v>77</v>
      </c>
      <c r="K4" s="21" t="s">
        <v>78</v>
      </c>
      <c r="L4" s="12" t="s">
        <v>79</v>
      </c>
    </row>
    <row r="5" customFormat="false" ht="15" hidden="false" customHeight="true" outlineLevel="0" collapsed="false">
      <c r="A5" s="9" t="s">
        <v>80</v>
      </c>
      <c r="B5" s="20" t="n">
        <v>58</v>
      </c>
      <c r="C5" s="20" t="n">
        <v>62.9</v>
      </c>
      <c r="D5" s="20" t="n">
        <v>68</v>
      </c>
      <c r="E5" s="20" t="n">
        <v>73</v>
      </c>
      <c r="F5" s="20" t="n">
        <v>79</v>
      </c>
      <c r="G5" s="20" t="n">
        <v>86</v>
      </c>
      <c r="H5" s="20" t="n">
        <v>93</v>
      </c>
      <c r="I5" s="20" t="n">
        <v>100</v>
      </c>
      <c r="J5" s="20" t="n">
        <v>107</v>
      </c>
      <c r="K5" s="20" t="n">
        <v>113</v>
      </c>
      <c r="L5" s="6" t="s">
        <v>81</v>
      </c>
    </row>
    <row r="6" customFormat="false" ht="15" hidden="false" customHeight="true" outlineLevel="0" collapsed="false">
      <c r="A6" s="9" t="s">
        <v>82</v>
      </c>
      <c r="B6" s="20" t="n">
        <v>0</v>
      </c>
      <c r="C6" s="20" t="n">
        <v>0</v>
      </c>
      <c r="D6" s="20" t="n">
        <v>7.5</v>
      </c>
      <c r="E6" s="20" t="n">
        <v>13</v>
      </c>
      <c r="F6" s="20" t="n">
        <v>18</v>
      </c>
      <c r="G6" s="20" t="n">
        <v>22</v>
      </c>
      <c r="H6" s="20" t="n">
        <v>25</v>
      </c>
      <c r="I6" s="20" t="n">
        <v>28</v>
      </c>
      <c r="J6" s="20" t="n">
        <v>30</v>
      </c>
      <c r="K6" s="20" t="n">
        <v>32</v>
      </c>
      <c r="L6" s="6" t="s">
        <v>83</v>
      </c>
    </row>
    <row r="7" customFormat="false" ht="15" hidden="false" customHeight="true" outlineLevel="0" collapsed="false">
      <c r="A7" s="9" t="s">
        <v>84</v>
      </c>
      <c r="B7" s="20" t="n">
        <v>0</v>
      </c>
      <c r="C7" s="20" t="n">
        <v>0</v>
      </c>
      <c r="D7" s="20" t="n">
        <v>0</v>
      </c>
      <c r="E7" s="20" t="n">
        <v>0</v>
      </c>
      <c r="F7" s="20" t="n">
        <v>0</v>
      </c>
      <c r="G7" s="20" t="n">
        <v>3</v>
      </c>
      <c r="H7" s="20" t="n">
        <v>18</v>
      </c>
      <c r="I7" s="20" t="n">
        <v>38</v>
      </c>
      <c r="J7" s="20" t="n">
        <v>62</v>
      </c>
      <c r="K7" s="20" t="n">
        <v>85</v>
      </c>
      <c r="L7" s="6" t="s">
        <v>85</v>
      </c>
    </row>
    <row r="8" customFormat="false" ht="15" hidden="false" customHeight="true" outlineLevel="0" collapsed="false">
      <c r="A8" s="9" t="s">
        <v>86</v>
      </c>
      <c r="B8" s="20" t="n">
        <v>0</v>
      </c>
      <c r="C8" s="20" t="n">
        <v>0.3</v>
      </c>
      <c r="D8" s="20" t="n">
        <v>0.8</v>
      </c>
      <c r="E8" s="20" t="n">
        <v>1.5</v>
      </c>
      <c r="F8" s="20" t="n">
        <v>2.5</v>
      </c>
      <c r="G8" s="20" t="n">
        <v>3.5</v>
      </c>
      <c r="H8" s="20" t="n">
        <v>4.5</v>
      </c>
      <c r="I8" s="20" t="n">
        <v>5.5</v>
      </c>
      <c r="J8" s="20" t="n">
        <v>6.5</v>
      </c>
      <c r="K8" s="20" t="n">
        <v>7</v>
      </c>
      <c r="L8" s="6" t="s">
        <v>87</v>
      </c>
    </row>
    <row r="9" customFormat="false" ht="15" hidden="false" customHeight="true" outlineLevel="0" collapsed="false">
      <c r="A9" s="9" t="s">
        <v>88</v>
      </c>
      <c r="B9" s="20" t="n">
        <v>0</v>
      </c>
      <c r="C9" s="20" t="n">
        <v>0.5</v>
      </c>
      <c r="D9" s="20" t="n">
        <v>1</v>
      </c>
      <c r="E9" s="20" t="n">
        <v>2</v>
      </c>
      <c r="F9" s="20" t="n">
        <v>3</v>
      </c>
      <c r="G9" s="20" t="n">
        <v>4</v>
      </c>
      <c r="H9" s="20" t="n">
        <v>5</v>
      </c>
      <c r="I9" s="20" t="n">
        <v>6</v>
      </c>
      <c r="J9" s="20" t="n">
        <v>7</v>
      </c>
      <c r="K9" s="20" t="n">
        <v>8</v>
      </c>
      <c r="L9" s="6" t="s">
        <v>89</v>
      </c>
    </row>
    <row r="10" customFormat="false" ht="15" hidden="false" customHeight="true" outlineLevel="0" collapsed="false">
      <c r="A10" s="9" t="s">
        <v>90</v>
      </c>
      <c r="B10" s="20" t="n">
        <v>0</v>
      </c>
      <c r="C10" s="20" t="n">
        <v>0</v>
      </c>
      <c r="D10" s="20" t="n">
        <v>0.5</v>
      </c>
      <c r="E10" s="20" t="n">
        <v>0.7</v>
      </c>
      <c r="F10" s="20" t="n">
        <v>0.9</v>
      </c>
      <c r="G10" s="20" t="n">
        <v>1.1</v>
      </c>
      <c r="H10" s="20" t="n">
        <v>1.5</v>
      </c>
      <c r="I10" s="20" t="n">
        <v>2</v>
      </c>
      <c r="J10" s="20" t="n">
        <v>2.5</v>
      </c>
      <c r="K10" s="20" t="n">
        <v>3</v>
      </c>
      <c r="L10" s="6" t="s">
        <v>91</v>
      </c>
    </row>
    <row r="11" customFormat="false" ht="15" hidden="false" customHeight="true" outlineLevel="0" collapsed="false">
      <c r="A11" s="9" t="s">
        <v>92</v>
      </c>
      <c r="B11" s="20" t="n">
        <v>0</v>
      </c>
      <c r="C11" s="20" t="n">
        <v>0</v>
      </c>
      <c r="D11" s="20" t="n">
        <v>1.5</v>
      </c>
      <c r="E11" s="20" t="n">
        <v>5</v>
      </c>
      <c r="F11" s="20" t="n">
        <v>9</v>
      </c>
      <c r="G11" s="20" t="n">
        <v>12</v>
      </c>
      <c r="H11" s="20" t="n">
        <v>16</v>
      </c>
      <c r="I11" s="20" t="n">
        <v>21</v>
      </c>
      <c r="J11" s="20" t="n">
        <v>26</v>
      </c>
      <c r="K11" s="20" t="n">
        <v>30</v>
      </c>
      <c r="L11" s="6" t="s">
        <v>93</v>
      </c>
    </row>
    <row r="12" customFormat="false" ht="15" hidden="false" customHeight="true" outlineLevel="0" collapsed="false">
      <c r="A12" s="9" t="s">
        <v>94</v>
      </c>
      <c r="B12" s="20" t="n">
        <v>0</v>
      </c>
      <c r="C12" s="20" t="n">
        <v>0</v>
      </c>
      <c r="D12" s="20" t="n">
        <v>0</v>
      </c>
      <c r="E12" s="20" t="n">
        <v>0.3</v>
      </c>
      <c r="F12" s="20" t="n">
        <v>0.5</v>
      </c>
      <c r="G12" s="20" t="n">
        <v>0.8</v>
      </c>
      <c r="H12" s="20" t="n">
        <v>1.2</v>
      </c>
      <c r="I12" s="20" t="n">
        <v>1.6</v>
      </c>
      <c r="J12" s="20" t="n">
        <v>2</v>
      </c>
      <c r="K12" s="20" t="n">
        <v>2.5</v>
      </c>
      <c r="L12" s="6" t="s">
        <v>95</v>
      </c>
    </row>
    <row r="13" customFormat="false" ht="15" hidden="false" customHeight="true" outlineLevel="0" collapsed="false">
      <c r="A13" s="7" t="s">
        <v>96</v>
      </c>
      <c r="B13" s="22" t="n">
        <f aca="false">SUM(B5:B12)</f>
        <v>58</v>
      </c>
      <c r="C13" s="22" t="n">
        <f aca="false">SUM(C5:C12)</f>
        <v>63.7</v>
      </c>
      <c r="D13" s="22" t="n">
        <f aca="false">SUM(D5:D12)</f>
        <v>79.3</v>
      </c>
      <c r="E13" s="22" t="n">
        <f aca="false">SUM(E5:E12)</f>
        <v>95.5</v>
      </c>
      <c r="F13" s="22" t="n">
        <f aca="false">SUM(F5:F12)</f>
        <v>112.9</v>
      </c>
      <c r="G13" s="22" t="n">
        <f aca="false">SUM(G5:G12)</f>
        <v>132.4</v>
      </c>
      <c r="H13" s="22" t="n">
        <f aca="false">SUM(H5:H12)</f>
        <v>164.2</v>
      </c>
      <c r="I13" s="22" t="n">
        <f aca="false">SUM(I5:I12)</f>
        <v>202.1</v>
      </c>
      <c r="J13" s="22" t="n">
        <f aca="false">SUM(J5:J12)</f>
        <v>243</v>
      </c>
      <c r="K13" s="22" t="n">
        <f aca="false">SUM(K5:K12)</f>
        <v>280.5</v>
      </c>
    </row>
    <row r="14" customFormat="false" ht="15" hidden="false" customHeight="true" outlineLevel="0" collapsed="false"/>
    <row r="15" customFormat="false" ht="15" hidden="false" customHeight="true" outlineLevel="0" collapsed="false">
      <c r="A15" s="9" t="s">
        <v>97</v>
      </c>
      <c r="B15" s="23" t="n">
        <f aca="false">94.8+B13+C13</f>
        <v>216.5</v>
      </c>
    </row>
    <row r="16" customFormat="false" ht="15" hidden="false" customHeight="true" outlineLevel="0" collapsed="false">
      <c r="A16" s="9" t="s">
        <v>98</v>
      </c>
      <c r="B16" s="23" t="n">
        <f aca="false">SUM(D13:G13)</f>
        <v>420.1</v>
      </c>
    </row>
    <row r="17" customFormat="false" ht="15" hidden="false" customHeight="true" outlineLevel="0" collapsed="false">
      <c r="A17" s="9" t="s">
        <v>99</v>
      </c>
      <c r="B17" s="23" t="n">
        <f aca="false">SUM(H13:K13)</f>
        <v>889.8</v>
      </c>
    </row>
    <row r="18" customFormat="false" ht="15" hidden="false" customHeight="true" outlineLevel="0" collapsed="false">
      <c r="A18" s="9" t="s">
        <v>100</v>
      </c>
      <c r="B18" s="23" t="n">
        <f aca="false">SUM(H8:K12)</f>
        <v>158.8</v>
      </c>
      <c r="C18" s="6" t="s">
        <v>101</v>
      </c>
    </row>
    <row r="20" customFormat="false" ht="15" hidden="false" customHeight="true" outlineLevel="0" collapsed="false"/>
    <row r="21" customFormat="false" ht="15" hidden="false" customHeight="true" outlineLevel="0" collapsed="false">
      <c r="A21" s="7" t="s">
        <v>102</v>
      </c>
    </row>
    <row r="22" customFormat="false" ht="15" hidden="false" customHeight="true" outlineLevel="0" collapsed="false">
      <c r="A22" s="6" t="s">
        <v>103</v>
      </c>
    </row>
    <row r="23" customFormat="false" ht="15" hidden="false" customHeight="true" outlineLevel="0" collapsed="false"/>
    <row r="24" customFormat="false" ht="15" hidden="false" customHeight="true" outlineLevel="0" collapsed="false">
      <c r="A24" s="9" t="s">
        <v>104</v>
      </c>
      <c r="B24" s="14" t="n">
        <v>30000</v>
      </c>
      <c r="C24" s="6" t="s">
        <v>105</v>
      </c>
    </row>
    <row r="25" customFormat="false" ht="15" hidden="false" customHeight="true" outlineLevel="0" collapsed="false">
      <c r="A25" s="9" t="s">
        <v>106</v>
      </c>
      <c r="B25" s="18" t="n">
        <v>0.12</v>
      </c>
      <c r="C25" s="6" t="s">
        <v>107</v>
      </c>
    </row>
    <row r="26" customFormat="false" ht="15" hidden="false" customHeight="true" outlineLevel="0" collapsed="false">
      <c r="A26" s="9" t="s">
        <v>108</v>
      </c>
      <c r="B26" s="18" t="n">
        <v>0.375</v>
      </c>
      <c r="C26" s="6" t="s">
        <v>109</v>
      </c>
    </row>
    <row r="27" customFormat="false" ht="15" hidden="false" customHeight="true" outlineLevel="0" collapsed="false">
      <c r="A27" s="9" t="s">
        <v>110</v>
      </c>
      <c r="B27" s="24" t="n">
        <f aca="false">B24*B25</f>
        <v>3600</v>
      </c>
      <c r="C27" s="6" t="s">
        <v>111</v>
      </c>
    </row>
    <row r="28" customFormat="false" ht="15" hidden="false" customHeight="true" outlineLevel="0" collapsed="false">
      <c r="A28" s="9" t="s">
        <v>112</v>
      </c>
      <c r="B28" s="17" t="n">
        <f aca="false">B23*B26</f>
        <v>0</v>
      </c>
      <c r="C28" s="6" t="s">
        <v>113</v>
      </c>
    </row>
    <row r="29" customFormat="false" ht="15" hidden="false" customHeight="true" outlineLevel="0" collapsed="false">
      <c r="A29" s="9" t="s">
        <v>114</v>
      </c>
      <c r="B29" s="14" t="n">
        <v>150000</v>
      </c>
      <c r="C29" s="6" t="s">
        <v>115</v>
      </c>
    </row>
    <row r="30" customFormat="false" ht="15" hidden="false" customHeight="true" outlineLevel="0" collapsed="false">
      <c r="A30" s="9" t="s">
        <v>116</v>
      </c>
      <c r="B30" s="25" t="n">
        <f aca="false">B27*B28/1000000</f>
        <v>0</v>
      </c>
      <c r="C30" s="6" t="s">
        <v>117</v>
      </c>
    </row>
    <row r="32" customFormat="false" ht="15" hidden="false" customHeight="true" outlineLevel="0" collapsed="false"/>
    <row r="33" customFormat="false" ht="15" hidden="false" customHeight="true" outlineLevel="0" collapsed="false">
      <c r="A33" s="7" t="s">
        <v>118</v>
      </c>
    </row>
    <row r="34" customFormat="false" ht="15" hidden="false" customHeight="true" outlineLevel="0" collapsed="false">
      <c r="A34" s="12" t="s">
        <v>119</v>
      </c>
      <c r="B34" s="12" t="s">
        <v>120</v>
      </c>
      <c r="C34" s="12" t="s">
        <v>121</v>
      </c>
      <c r="D34" s="12" t="s">
        <v>122</v>
      </c>
      <c r="E34" s="12" t="s">
        <v>123</v>
      </c>
    </row>
    <row r="35" customFormat="false" ht="15" hidden="false" customHeight="true" outlineLevel="0" collapsed="false">
      <c r="A35" s="7" t="s">
        <v>124</v>
      </c>
      <c r="B35" s="15" t="n">
        <v>0.02</v>
      </c>
      <c r="C35" s="15" t="n">
        <v>0.04</v>
      </c>
      <c r="D35" s="15" t="n">
        <v>0.07</v>
      </c>
      <c r="E35" s="6" t="s">
        <v>125</v>
      </c>
    </row>
    <row r="36" customFormat="false" ht="15" hidden="false" customHeight="true" outlineLevel="0" collapsed="false">
      <c r="A36" s="7" t="s">
        <v>126</v>
      </c>
      <c r="B36" s="15" t="n">
        <v>0.045</v>
      </c>
      <c r="C36" s="15" t="n">
        <v>0.095</v>
      </c>
      <c r="D36" s="15" t="n">
        <v>0.16</v>
      </c>
      <c r="E36" s="6" t="s">
        <v>127</v>
      </c>
    </row>
    <row r="37" customFormat="false" ht="15" hidden="false" customHeight="true" outlineLevel="0" collapsed="false">
      <c r="A37" s="7" t="s">
        <v>128</v>
      </c>
      <c r="B37" s="15" t="n">
        <v>0.09</v>
      </c>
      <c r="C37" s="15" t="n">
        <v>0.2</v>
      </c>
      <c r="D37" s="15" t="n">
        <v>0.3</v>
      </c>
      <c r="E37" s="6" t="s">
        <v>129</v>
      </c>
    </row>
    <row r="38" customFormat="false" ht="15" hidden="false" customHeight="true" outlineLevel="0" collapsed="false">
      <c r="B38" s="26"/>
      <c r="C38" s="26"/>
      <c r="D38" s="26"/>
      <c r="E38" s="26"/>
      <c r="F38" s="26"/>
      <c r="G38" s="26"/>
      <c r="H38" s="26"/>
      <c r="I38" s="26"/>
      <c r="J38" s="26"/>
      <c r="K38" s="26"/>
    </row>
    <row r="39" customFormat="false" ht="15" hidden="false" customHeight="true" outlineLevel="0" collapsed="false">
      <c r="A39" s="7" t="s">
        <v>130</v>
      </c>
      <c r="B39" s="27" t="s">
        <v>131</v>
      </c>
      <c r="C39" s="27"/>
      <c r="D39" s="27"/>
      <c r="E39" s="27"/>
      <c r="F39" s="27"/>
      <c r="G39" s="27"/>
      <c r="H39" s="27"/>
      <c r="I39" s="27"/>
      <c r="J39" s="27"/>
      <c r="K39" s="27"/>
    </row>
    <row r="40" customFormat="false" ht="15" hidden="false" customHeight="true" outlineLevel="0" collapsed="false">
      <c r="A40" s="7" t="s">
        <v>132</v>
      </c>
      <c r="B40" s="27" t="s">
        <v>133</v>
      </c>
      <c r="C40" s="27"/>
      <c r="D40" s="27"/>
      <c r="E40" s="27"/>
      <c r="F40" s="27"/>
      <c r="G40" s="27"/>
      <c r="H40" s="27"/>
      <c r="I40" s="27"/>
      <c r="J40" s="27"/>
      <c r="K40" s="27"/>
    </row>
    <row r="41" customFormat="false" ht="15" hidden="false" customHeight="true" outlineLevel="0" collapsed="false">
      <c r="A41" s="7" t="s">
        <v>134</v>
      </c>
      <c r="B41" s="27" t="s">
        <v>135</v>
      </c>
      <c r="C41" s="27"/>
      <c r="D41" s="27"/>
      <c r="E41" s="27"/>
      <c r="F41" s="27"/>
      <c r="G41" s="27"/>
      <c r="H41" s="27"/>
      <c r="I41" s="27"/>
      <c r="J41" s="27"/>
      <c r="K41" s="27"/>
    </row>
    <row r="42" customFormat="false" ht="15" hidden="false" customHeight="true" outlineLevel="0" collapsed="false">
      <c r="A42" s="7" t="s">
        <v>136</v>
      </c>
      <c r="B42" s="27" t="s">
        <v>137</v>
      </c>
      <c r="C42" s="27"/>
      <c r="D42" s="27"/>
      <c r="E42" s="27"/>
      <c r="F42" s="27"/>
      <c r="G42" s="27"/>
      <c r="H42" s="27"/>
      <c r="I42" s="27"/>
      <c r="J42" s="27"/>
      <c r="K42" s="27"/>
    </row>
    <row r="43" customFormat="false" ht="15" hidden="false" customHeight="true" outlineLevel="0" collapsed="false">
      <c r="A43" s="7" t="s">
        <v>138</v>
      </c>
      <c r="B43" s="6" t="s">
        <v>139</v>
      </c>
    </row>
    <row r="44" customFormat="false" ht="15" hidden="false" customHeight="true" outlineLevel="0" collapsed="false">
      <c r="B44" s="26"/>
      <c r="C44" s="26"/>
      <c r="D44" s="26"/>
      <c r="E44" s="26"/>
      <c r="F44" s="26"/>
      <c r="G44" s="26"/>
      <c r="H44" s="26"/>
      <c r="I44" s="26"/>
      <c r="J44" s="26"/>
      <c r="K44" s="26"/>
    </row>
    <row r="45" customFormat="false" ht="15" hidden="false" customHeight="true" outlineLevel="0" collapsed="false">
      <c r="A45" s="7" t="s">
        <v>140</v>
      </c>
      <c r="B45" s="6" t="s">
        <v>141</v>
      </c>
    </row>
    <row r="46" customFormat="false" ht="15" hidden="false" customHeight="true" outlineLevel="0" collapsed="false">
      <c r="A46" s="7" t="s">
        <v>142</v>
      </c>
    </row>
    <row r="47" customFormat="false" ht="15" hidden="false" customHeight="true" outlineLevel="0" collapsed="false">
      <c r="A47" s="7" t="s">
        <v>143</v>
      </c>
      <c r="B47" s="27" t="s">
        <v>144</v>
      </c>
      <c r="C47" s="27"/>
      <c r="D47" s="27"/>
      <c r="E47" s="27"/>
      <c r="F47" s="27"/>
      <c r="G47" s="27"/>
      <c r="H47" s="27"/>
      <c r="I47" s="27"/>
      <c r="J47" s="27"/>
      <c r="K47" s="27"/>
    </row>
    <row r="48" customFormat="false" ht="15" hidden="false" customHeight="true" outlineLevel="0" collapsed="false">
      <c r="A48" s="7" t="s">
        <v>145</v>
      </c>
      <c r="B48" s="27" t="s">
        <v>146</v>
      </c>
      <c r="C48" s="27"/>
      <c r="D48" s="27"/>
      <c r="E48" s="27"/>
      <c r="F48" s="27"/>
      <c r="G48" s="27"/>
      <c r="H48" s="27"/>
      <c r="I48" s="27"/>
      <c r="J48" s="27"/>
      <c r="K48" s="27"/>
    </row>
    <row r="49" customFormat="false" ht="15" hidden="false" customHeight="true" outlineLevel="0" collapsed="false">
      <c r="A49" s="7" t="s">
        <v>147</v>
      </c>
      <c r="B49" s="27" t="s">
        <v>148</v>
      </c>
      <c r="C49" s="27"/>
      <c r="D49" s="27"/>
      <c r="E49" s="27"/>
      <c r="F49" s="27"/>
      <c r="G49" s="27"/>
      <c r="H49" s="27"/>
      <c r="I49" s="27"/>
      <c r="J49" s="27"/>
      <c r="K49" s="27"/>
    </row>
    <row r="50" customFormat="false" ht="15" hidden="false" customHeight="true" outlineLevel="0" collapsed="false">
      <c r="A50" s="7" t="s">
        <v>149</v>
      </c>
      <c r="B50" s="27" t="s">
        <v>150</v>
      </c>
      <c r="C50" s="27"/>
      <c r="D50" s="27"/>
      <c r="E50" s="27"/>
      <c r="F50" s="27"/>
      <c r="G50" s="27"/>
      <c r="H50" s="27"/>
      <c r="I50" s="27"/>
      <c r="J50" s="27"/>
      <c r="K50" s="27"/>
    </row>
    <row r="51" customFormat="false" ht="15" hidden="false" customHeight="true" outlineLevel="0" collapsed="false">
      <c r="A51" s="7" t="s">
        <v>151</v>
      </c>
      <c r="B51" s="27" t="s">
        <v>152</v>
      </c>
      <c r="C51" s="27"/>
      <c r="D51" s="27"/>
      <c r="E51" s="27"/>
      <c r="F51" s="27"/>
      <c r="G51" s="27"/>
      <c r="H51" s="27"/>
      <c r="I51" s="27"/>
      <c r="J51" s="27"/>
      <c r="K51" s="27"/>
    </row>
    <row r="52" customFormat="false" ht="15" hidden="false" customHeight="true" outlineLevel="0" collapsed="false">
      <c r="A52" s="7" t="s">
        <v>153</v>
      </c>
      <c r="B52" s="27" t="s">
        <v>154</v>
      </c>
      <c r="C52" s="27"/>
      <c r="D52" s="27"/>
      <c r="E52" s="27"/>
      <c r="F52" s="27"/>
      <c r="G52" s="27"/>
      <c r="H52" s="27"/>
      <c r="I52" s="27"/>
      <c r="J52" s="27"/>
      <c r="K52" s="27"/>
    </row>
    <row r="62" customFormat="false" ht="15" hidden="false" customHeight="true" outlineLevel="0" collapsed="false">
      <c r="A62" s="7" t="s">
        <v>155</v>
      </c>
    </row>
    <row r="63" customFormat="false" ht="15" hidden="false" customHeight="true" outlineLevel="0" collapsed="false">
      <c r="A63" s="7" t="s">
        <v>156</v>
      </c>
      <c r="B63" s="6" t="s">
        <v>157</v>
      </c>
    </row>
    <row r="64" customFormat="false" ht="15" hidden="false" customHeight="true" outlineLevel="0" collapsed="false">
      <c r="A64" s="7" t="s">
        <v>158</v>
      </c>
      <c r="B64" s="6" t="s">
        <v>159</v>
      </c>
    </row>
    <row r="65" customFormat="false" ht="15" hidden="false" customHeight="true" outlineLevel="0" collapsed="false">
      <c r="A65" s="7" t="s">
        <v>160</v>
      </c>
      <c r="B65" s="6" t="s">
        <v>161</v>
      </c>
    </row>
    <row r="66" customFormat="false" ht="15" hidden="false" customHeight="true" outlineLevel="0" collapsed="false">
      <c r="A66" s="7" t="s">
        <v>162</v>
      </c>
      <c r="B66" s="6" t="s">
        <v>163</v>
      </c>
    </row>
    <row r="67" customFormat="false" ht="15" hidden="false" customHeight="true" outlineLevel="0" collapsed="false">
      <c r="A67" s="7" t="s">
        <v>164</v>
      </c>
      <c r="B67" s="6" t="s">
        <v>165</v>
      </c>
    </row>
    <row r="68" customFormat="false" ht="34.5" hidden="false" customHeight="true" outlineLevel="0" collapsed="false">
      <c r="A68" s="28" t="s">
        <v>166</v>
      </c>
      <c r="B68" s="29" t="s">
        <v>167</v>
      </c>
      <c r="C68" s="30"/>
      <c r="D68" s="30"/>
    </row>
    <row r="69" customFormat="false" ht="15" hidden="false" customHeight="true" outlineLevel="0" collapsed="false">
      <c r="A69" s="9"/>
      <c r="B69" s="23"/>
      <c r="C69" s="20"/>
      <c r="D69" s="23"/>
    </row>
    <row r="70" customFormat="false" ht="15" hidden="false" customHeight="true" outlineLevel="0" collapsed="false">
      <c r="A70" s="7" t="s">
        <v>168</v>
      </c>
      <c r="B70" s="23"/>
      <c r="C70" s="20"/>
      <c r="D70" s="23"/>
    </row>
    <row r="71" customFormat="false" ht="15" hidden="false" customHeight="true" outlineLevel="0" collapsed="false">
      <c r="A71" s="12" t="s">
        <v>169</v>
      </c>
      <c r="B71" s="31" t="s">
        <v>170</v>
      </c>
      <c r="C71" s="31" t="s">
        <v>171</v>
      </c>
      <c r="D71" s="31" t="s">
        <v>172</v>
      </c>
    </row>
    <row r="72" customFormat="false" ht="15" hidden="false" customHeight="true" outlineLevel="0" collapsed="false">
      <c r="A72" s="9" t="s">
        <v>173</v>
      </c>
      <c r="B72" s="23" t="n">
        <v>364</v>
      </c>
      <c r="C72" s="32" t="n">
        <v>413</v>
      </c>
      <c r="D72" s="33" t="n">
        <f aca="false">C72-B72</f>
        <v>49</v>
      </c>
    </row>
    <row r="73" customFormat="false" ht="15" hidden="false" customHeight="true" outlineLevel="0" collapsed="false">
      <c r="A73" s="9" t="s">
        <v>174</v>
      </c>
      <c r="B73" s="23" t="n">
        <v>841</v>
      </c>
      <c r="C73" s="32" t="n">
        <v>890</v>
      </c>
      <c r="D73" s="33" t="n">
        <f aca="false">C73-B73</f>
        <v>49</v>
      </c>
    </row>
    <row r="74" customFormat="false" ht="15" hidden="false" customHeight="true" outlineLevel="0" collapsed="false">
      <c r="A74" s="9" t="s">
        <v>175</v>
      </c>
      <c r="B74" s="23" t="n">
        <v>415</v>
      </c>
      <c r="C74" s="32" t="n">
        <v>420</v>
      </c>
      <c r="D74" s="33" t="n">
        <f aca="false">C74-B74</f>
        <v>5</v>
      </c>
    </row>
    <row r="75" customFormat="false" ht="15" hidden="false" customHeight="true" outlineLevel="0" collapsed="false">
      <c r="A75" s="9" t="s">
        <v>176</v>
      </c>
      <c r="B75" s="23" t="n">
        <v>133</v>
      </c>
      <c r="C75" s="32" t="n">
        <v>138</v>
      </c>
      <c r="D75" s="33" t="n">
        <f aca="false">C75-B75</f>
        <v>5</v>
      </c>
    </row>
    <row r="76" customFormat="false" ht="15" hidden="false" customHeight="true" outlineLevel="0" collapsed="false">
      <c r="A76" s="7" t="s">
        <v>177</v>
      </c>
      <c r="B76" s="23"/>
      <c r="C76" s="23"/>
      <c r="D76" s="34"/>
    </row>
    <row r="77" customFormat="false" ht="15" hidden="false" customHeight="true" outlineLevel="0" collapsed="false">
      <c r="A77" s="7" t="s">
        <v>178</v>
      </c>
      <c r="B77" s="6" t="s">
        <v>179</v>
      </c>
    </row>
    <row r="78" customFormat="false" ht="15" hidden="false" customHeight="true" outlineLevel="0" collapsed="false">
      <c r="A78" s="7" t="s">
        <v>180</v>
      </c>
      <c r="B78" s="6" t="s">
        <v>181</v>
      </c>
    </row>
    <row r="79" customFormat="false" ht="15" hidden="false" customHeight="true" outlineLevel="0" collapsed="false">
      <c r="A79" s="7" t="s">
        <v>182</v>
      </c>
      <c r="B79" s="6" t="s">
        <v>183</v>
      </c>
    </row>
    <row r="80" customFormat="false" ht="15" hidden="false" customHeight="true" outlineLevel="0" collapsed="false">
      <c r="A80" s="7" t="s">
        <v>184</v>
      </c>
      <c r="B80" s="6" t="s">
        <v>185</v>
      </c>
    </row>
    <row r="81" customFormat="false" ht="15" hidden="false" customHeight="true" outlineLevel="0" collapsed="false">
      <c r="A81" s="7"/>
      <c r="B81" s="6"/>
    </row>
    <row r="82" customFormat="false" ht="15" hidden="false" customHeight="true" outlineLevel="0" collapsed="false">
      <c r="A82" s="7"/>
      <c r="B82" s="6"/>
    </row>
  </sheetData>
  <mergeCells count="12">
    <mergeCell ref="B38:K38"/>
    <mergeCell ref="B39:K39"/>
    <mergeCell ref="B40:K40"/>
    <mergeCell ref="B41:K41"/>
    <mergeCell ref="B42:K42"/>
    <mergeCell ref="B44:K44"/>
    <mergeCell ref="B47:K47"/>
    <mergeCell ref="B48:K48"/>
    <mergeCell ref="B49:K49"/>
    <mergeCell ref="B50:K50"/>
    <mergeCell ref="B51:K51"/>
    <mergeCell ref="B52:K5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1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6"/>
    <col collapsed="false" customWidth="true" hidden="false" outlineLevel="0" max="11" min="2" style="1" width="10"/>
  </cols>
  <sheetData>
    <row r="1" customFormat="false" ht="17.25" hidden="false" customHeight="true" outlineLevel="0" collapsed="false">
      <c r="A1" s="5" t="s">
        <v>186</v>
      </c>
    </row>
    <row r="2" customFormat="false" ht="15" hidden="false" customHeight="true" outlineLevel="0" collapsed="false">
      <c r="A2" s="6" t="s">
        <v>187</v>
      </c>
    </row>
    <row r="4" customFormat="false" ht="15" hidden="false" customHeight="true" outlineLevel="0" collapsed="false">
      <c r="A4" s="12" t="s">
        <v>169</v>
      </c>
      <c r="B4" s="21" t="s">
        <v>69</v>
      </c>
      <c r="C4" s="21" t="s">
        <v>70</v>
      </c>
      <c r="D4" s="21" t="s">
        <v>71</v>
      </c>
      <c r="E4" s="21" t="s">
        <v>72</v>
      </c>
      <c r="F4" s="21" t="s">
        <v>73</v>
      </c>
      <c r="G4" s="21" t="s">
        <v>74</v>
      </c>
      <c r="H4" s="21" t="s">
        <v>75</v>
      </c>
      <c r="I4" s="21" t="s">
        <v>76</v>
      </c>
      <c r="J4" s="21" t="s">
        <v>77</v>
      </c>
      <c r="K4" s="21" t="s">
        <v>78</v>
      </c>
    </row>
    <row r="5" customFormat="false" ht="15" hidden="false" customHeight="true" outlineLevel="0" collapsed="false">
      <c r="A5" s="9" t="s">
        <v>188</v>
      </c>
      <c r="B5" s="35" t="n">
        <f aca="false">'Revenue Build'!B13</f>
        <v>58</v>
      </c>
      <c r="C5" s="35" t="n">
        <f aca="false">'Revenue Build'!C13</f>
        <v>63.7</v>
      </c>
      <c r="D5" s="35" t="n">
        <f aca="false">'Revenue Build'!D13</f>
        <v>79.3</v>
      </c>
      <c r="E5" s="35" t="n">
        <f aca="false">'Revenue Build'!E13</f>
        <v>95.5</v>
      </c>
      <c r="F5" s="35" t="n">
        <f aca="false">'Revenue Build'!F13</f>
        <v>112.9</v>
      </c>
      <c r="G5" s="35" t="n">
        <f aca="false">'Revenue Build'!G13</f>
        <v>132.4</v>
      </c>
      <c r="H5" s="35" t="n">
        <f aca="false">'Revenue Build'!H13</f>
        <v>164.2</v>
      </c>
      <c r="I5" s="35" t="n">
        <f aca="false">'Revenue Build'!I13</f>
        <v>202.1</v>
      </c>
      <c r="J5" s="35" t="n">
        <f aca="false">'Revenue Build'!J13</f>
        <v>243</v>
      </c>
      <c r="K5" s="35" t="n">
        <f aca="false">'Revenue Build'!K13</f>
        <v>280.5</v>
      </c>
    </row>
    <row r="6" customFormat="false" ht="15" hidden="false" customHeight="true" outlineLevel="0" collapsed="false">
      <c r="A6" s="9" t="s">
        <v>189</v>
      </c>
      <c r="B6" s="25" t="n">
        <f aca="false">Assumptions!$B$13*(1+Assumptions!$B$28)</f>
        <v>115.3838</v>
      </c>
      <c r="C6" s="25" t="n">
        <f aca="false">B6*(1+Assumptions!$B$28)</f>
        <v>117.9222436</v>
      </c>
      <c r="D6" s="25" t="n">
        <f aca="false">C6*(1+Assumptions!$B$28)</f>
        <v>120.5165329592</v>
      </c>
      <c r="E6" s="25" t="n">
        <f aca="false">D6*(1+Assumptions!$B$28)</f>
        <v>123.167896684302</v>
      </c>
      <c r="F6" s="25" t="n">
        <f aca="false">E6*(1+Assumptions!$B$28)</f>
        <v>125.877590411357</v>
      </c>
      <c r="G6" s="25" t="n">
        <f aca="false">F6*(1+Assumptions!$B$28)</f>
        <v>128.646897400407</v>
      </c>
      <c r="H6" s="25" t="n">
        <f aca="false">G6*(1+Assumptions!$B$28)</f>
        <v>131.477129143216</v>
      </c>
      <c r="I6" s="25" t="n">
        <f aca="false">H6*(1+Assumptions!$B$28)</f>
        <v>134.369625984367</v>
      </c>
      <c r="J6" s="25" t="n">
        <f aca="false">I6*(1+Assumptions!$B$28)</f>
        <v>137.325757756023</v>
      </c>
      <c r="K6" s="25" t="n">
        <f aca="false">J6*(1+Assumptions!$B$28)</f>
        <v>140.346924426655</v>
      </c>
    </row>
    <row r="7" customFormat="false" ht="15" hidden="false" customHeight="true" outlineLevel="0" collapsed="false">
      <c r="A7" s="7" t="s">
        <v>190</v>
      </c>
      <c r="B7" s="36" t="n">
        <f aca="false">B5-B6</f>
        <v>-57.3838</v>
      </c>
      <c r="C7" s="36" t="n">
        <f aca="false">C5-C6</f>
        <v>-54.2222436</v>
      </c>
      <c r="D7" s="36" t="n">
        <f aca="false">D5-D6</f>
        <v>-41.2165329592</v>
      </c>
      <c r="E7" s="36" t="n">
        <f aca="false">E5-E6</f>
        <v>-27.6678966843024</v>
      </c>
      <c r="F7" s="36" t="n">
        <f aca="false">F5-F6</f>
        <v>-12.9775904113571</v>
      </c>
      <c r="G7" s="36" t="n">
        <f aca="false">G5-G6</f>
        <v>3.75310259959306</v>
      </c>
      <c r="H7" s="36" t="n">
        <f aca="false">H5-H6</f>
        <v>32.7228708567841</v>
      </c>
      <c r="I7" s="36" t="n">
        <f aca="false">I5-I6</f>
        <v>67.7303740156333</v>
      </c>
      <c r="J7" s="36" t="n">
        <f aca="false">J5-J6</f>
        <v>105.674242243977</v>
      </c>
      <c r="K7" s="36" t="n">
        <f aca="false">K5-K6</f>
        <v>140.153075573345</v>
      </c>
    </row>
    <row r="8" customFormat="false" ht="15" hidden="false" customHeight="true" outlineLevel="0" collapsed="false">
      <c r="A8" s="9" t="s">
        <v>191</v>
      </c>
      <c r="B8" s="25" t="n">
        <f aca="false">Assumptions!$B$29+Assumptions!$B$30*0</f>
        <v>20.5</v>
      </c>
      <c r="C8" s="25" t="n">
        <f aca="false">Assumptions!$B$29+Assumptions!$B$30*1</f>
        <v>21</v>
      </c>
      <c r="D8" s="25" t="n">
        <f aca="false">Assumptions!$B$29+Assumptions!$B$30*2</f>
        <v>21.5</v>
      </c>
      <c r="E8" s="25" t="n">
        <f aca="false">Assumptions!$B$29+Assumptions!$B$30*3</f>
        <v>22</v>
      </c>
      <c r="F8" s="25" t="n">
        <f aca="false">Assumptions!$B$29+Assumptions!$B$30*4</f>
        <v>22.5</v>
      </c>
      <c r="G8" s="25" t="n">
        <f aca="false">Assumptions!$B$29+Assumptions!$B$30*5</f>
        <v>23</v>
      </c>
      <c r="H8" s="25" t="n">
        <f aca="false">Assumptions!$B$29+Assumptions!$B$30*6</f>
        <v>23.5</v>
      </c>
      <c r="I8" s="25" t="n">
        <f aca="false">Assumptions!$B$29+Assumptions!$B$30*7</f>
        <v>24</v>
      </c>
      <c r="J8" s="25" t="n">
        <f aca="false">Assumptions!$B$29+Assumptions!$B$30*8</f>
        <v>24.5</v>
      </c>
      <c r="K8" s="25" t="n">
        <f aca="false">Assumptions!$B$29+Assumptions!$B$30*9</f>
        <v>25</v>
      </c>
    </row>
    <row r="9" customFormat="false" ht="15" hidden="false" customHeight="true" outlineLevel="0" collapsed="false">
      <c r="A9" s="9" t="s">
        <v>192</v>
      </c>
      <c r="B9" s="25" t="n">
        <f aca="false">Assumptions!$B$31+Assumptions!$B$32*0</f>
        <v>16</v>
      </c>
      <c r="C9" s="25" t="n">
        <f aca="false">Assumptions!$B$31+Assumptions!$B$32*1</f>
        <v>16.33</v>
      </c>
      <c r="D9" s="25" t="n">
        <f aca="false">Assumptions!$B$31+Assumptions!$B$32*2</f>
        <v>16.66</v>
      </c>
      <c r="E9" s="25" t="n">
        <f aca="false">Assumptions!$B$31+Assumptions!$B$32*3</f>
        <v>16.99</v>
      </c>
      <c r="F9" s="25" t="n">
        <f aca="false">Assumptions!$B$31+Assumptions!$B$32*4</f>
        <v>17.32</v>
      </c>
      <c r="G9" s="25" t="n">
        <f aca="false">Assumptions!$B$31+Assumptions!$B$32*5</f>
        <v>17.65</v>
      </c>
      <c r="H9" s="25" t="n">
        <f aca="false">Assumptions!$B$31+Assumptions!$B$32*6</f>
        <v>17.98</v>
      </c>
      <c r="I9" s="25" t="n">
        <f aca="false">Assumptions!$B$31+Assumptions!$B$32*7</f>
        <v>18.31</v>
      </c>
      <c r="J9" s="25" t="n">
        <f aca="false">Assumptions!$B$31+Assumptions!$B$32*8</f>
        <v>18.64</v>
      </c>
      <c r="K9" s="25" t="n">
        <f aca="false">Assumptions!$B$31+Assumptions!$B$32*9</f>
        <v>18.97</v>
      </c>
    </row>
    <row r="10" customFormat="false" ht="15" hidden="false" customHeight="true" outlineLevel="0" collapsed="false">
      <c r="A10" s="7" t="s">
        <v>193</v>
      </c>
      <c r="B10" s="22" t="n">
        <f aca="false">B6-B5+B8-B9</f>
        <v>61.8838</v>
      </c>
      <c r="C10" s="22" t="n">
        <f aca="false">C6-C5+C8-C9</f>
        <v>58.8922436</v>
      </c>
      <c r="D10" s="22" t="n">
        <f aca="false">D6-D5+D8-D9</f>
        <v>46.0565329592</v>
      </c>
      <c r="E10" s="22" t="n">
        <f aca="false">E6-E5+E8-E9</f>
        <v>32.6778966843024</v>
      </c>
      <c r="F10" s="22" t="n">
        <f aca="false">F6-F5+F8-F9</f>
        <v>18.1575904113571</v>
      </c>
      <c r="G10" s="22" t="n">
        <f aca="false">G6-G5+G8-G9</f>
        <v>1.59689740040694</v>
      </c>
      <c r="H10" s="22" t="n">
        <f aca="false">H6-H5+H8-H9</f>
        <v>-27.2028708567841</v>
      </c>
      <c r="I10" s="22" t="n">
        <f aca="false">I6-I5+I8-I9</f>
        <v>-62.0403740156334</v>
      </c>
      <c r="J10" s="22" t="n">
        <f aca="false">J6-J5+J8-J9</f>
        <v>-99.8142422439773</v>
      </c>
      <c r="K10" s="22" t="n">
        <f aca="false">K6-K5+K8-K9</f>
        <v>-134.123075573345</v>
      </c>
    </row>
    <row r="11" customFormat="false" ht="15" hidden="false" customHeight="true" outlineLevel="0" collapsed="false">
      <c r="A11" s="7" t="s">
        <v>194</v>
      </c>
      <c r="B11" s="37" t="n">
        <f aca="false">Assumptions!$B$15-B10</f>
        <v>295.5162</v>
      </c>
      <c r="C11" s="37" t="n">
        <f aca="false">B11-C10</f>
        <v>236.6239564</v>
      </c>
      <c r="D11" s="37" t="n">
        <f aca="false">C11-D10</f>
        <v>190.5674234408</v>
      </c>
      <c r="E11" s="37" t="n">
        <f aca="false">D11-E10</f>
        <v>157.889526756498</v>
      </c>
      <c r="F11" s="37" t="n">
        <f aca="false">E11-F10</f>
        <v>139.73193634514</v>
      </c>
      <c r="G11" s="37" t="n">
        <f aca="false">F11-G10</f>
        <v>138.135038944734</v>
      </c>
      <c r="H11" s="37" t="n">
        <f aca="false">G11-H10</f>
        <v>165.337909801518</v>
      </c>
      <c r="I11" s="37" t="n">
        <f aca="false">H11-I10</f>
        <v>227.378283817151</v>
      </c>
      <c r="J11" s="37" t="n">
        <f aca="false">I11-J10</f>
        <v>327.192526061128</v>
      </c>
      <c r="K11" s="37" t="n">
        <f aca="false">J11-K10</f>
        <v>461.315601634473</v>
      </c>
    </row>
    <row r="13" customFormat="false" ht="15" hidden="false" customHeight="true" outlineLevel="0" collapsed="false">
      <c r="A13" s="7" t="s">
        <v>195</v>
      </c>
    </row>
    <row r="14" customFormat="false" ht="15" hidden="false" customHeight="true" outlineLevel="0" collapsed="false">
      <c r="A14" s="9" t="s">
        <v>196</v>
      </c>
      <c r="B14" s="23" t="n">
        <f aca="false">MIN(B11:K11)</f>
        <v>138.135038944734</v>
      </c>
    </row>
    <row r="15" customFormat="false" ht="15" hidden="false" customHeight="true" outlineLevel="0" collapsed="false">
      <c r="A15" s="9" t="s">
        <v>197</v>
      </c>
      <c r="B15" s="23" t="n">
        <f aca="false">SUM(B10:K10)</f>
        <v>-103.915601634473</v>
      </c>
    </row>
    <row r="16" customFormat="false" ht="15" hidden="false" customHeight="true" outlineLevel="0" collapsed="false">
      <c r="A16" s="9" t="s">
        <v>198</v>
      </c>
      <c r="B16" s="1" t="str">
        <f aca="false">IFERROR(INDEX(B4:K4,MATCH(TRUE(),INDEX(B10:K10&lt;0,0),0)),"none in window")</f>
        <v>Q1'28</v>
      </c>
    </row>
    <row r="17" customFormat="false" ht="15" hidden="false" customHeight="true" outlineLevel="0" collapsed="false">
      <c r="A17" s="9" t="s">
        <v>199</v>
      </c>
      <c r="B17" s="23" t="n">
        <f aca="false">Assumptions!B35+Assumptions!B36</f>
        <v>481.5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4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0"/>
    <col collapsed="false" customWidth="true" hidden="false" outlineLevel="0" max="2" min="2" style="1" width="15"/>
    <col collapsed="false" customWidth="true" hidden="false" outlineLevel="0" max="3" min="3" style="1" width="42"/>
    <col collapsed="false" customWidth="true" hidden="false" outlineLevel="0" max="7" min="4" style="1" width="15"/>
  </cols>
  <sheetData>
    <row r="1" customFormat="false" ht="17.25" hidden="false" customHeight="true" outlineLevel="0" collapsed="false">
      <c r="A1" s="5" t="s">
        <v>200</v>
      </c>
    </row>
    <row r="2" customFormat="false" ht="15" hidden="false" customHeight="true" outlineLevel="0" collapsed="false">
      <c r="A2" s="6" t="s">
        <v>201</v>
      </c>
    </row>
    <row r="4" customFormat="false" ht="15" hidden="false" customHeight="true" outlineLevel="0" collapsed="false">
      <c r="A4" s="7" t="s">
        <v>202</v>
      </c>
    </row>
    <row r="5" customFormat="false" ht="15" hidden="false" customHeight="true" outlineLevel="0" collapsed="false">
      <c r="A5" s="9" t="s">
        <v>203</v>
      </c>
      <c r="B5" s="13" t="n">
        <v>1060</v>
      </c>
      <c r="C5" s="6" t="s">
        <v>35</v>
      </c>
    </row>
    <row r="6" customFormat="false" ht="15" hidden="false" customHeight="true" outlineLevel="0" collapsed="false">
      <c r="A6" s="9" t="s">
        <v>204</v>
      </c>
      <c r="B6" s="13" t="n">
        <v>88.4</v>
      </c>
      <c r="C6" s="6" t="s">
        <v>205</v>
      </c>
    </row>
    <row r="7" customFormat="false" ht="15" hidden="false" customHeight="true" outlineLevel="0" collapsed="false">
      <c r="A7" s="9" t="s">
        <v>206</v>
      </c>
      <c r="B7" s="13" t="n">
        <v>41.5</v>
      </c>
      <c r="C7" s="6" t="s">
        <v>207</v>
      </c>
    </row>
    <row r="8" customFormat="false" ht="15" hidden="false" customHeight="true" outlineLevel="0" collapsed="false">
      <c r="A8" s="9" t="s">
        <v>208</v>
      </c>
      <c r="B8" s="13" t="n">
        <v>32</v>
      </c>
      <c r="C8" s="6" t="s">
        <v>209</v>
      </c>
    </row>
    <row r="9" customFormat="false" ht="15" hidden="false" customHeight="true" outlineLevel="0" collapsed="false">
      <c r="A9" s="7" t="s">
        <v>210</v>
      </c>
      <c r="B9" s="38" t="n">
        <f aca="false">SUM(B5:B8)</f>
        <v>1221.9</v>
      </c>
    </row>
    <row r="12" customFormat="false" ht="15" hidden="false" customHeight="true" outlineLevel="0" collapsed="false">
      <c r="A12" s="7" t="s">
        <v>211</v>
      </c>
    </row>
    <row r="13" customFormat="false" ht="15" hidden="false" customHeight="true" outlineLevel="0" collapsed="false">
      <c r="A13" s="9" t="s">
        <v>212</v>
      </c>
      <c r="B13" s="39" t="n">
        <f aca="false">13.5*3.101+27.96*3.24</f>
        <v>132.4539</v>
      </c>
      <c r="C13" s="6" t="s">
        <v>213</v>
      </c>
    </row>
    <row r="14" customFormat="false" ht="15" hidden="false" customHeight="true" outlineLevel="0" collapsed="false">
      <c r="A14" s="9" t="s">
        <v>214</v>
      </c>
      <c r="B14" s="40" t="n">
        <v>480</v>
      </c>
      <c r="C14" s="6" t="s">
        <v>215</v>
      </c>
    </row>
    <row r="15" customFormat="false" ht="15" hidden="false" customHeight="true" outlineLevel="0" collapsed="false">
      <c r="A15" s="9" t="s">
        <v>216</v>
      </c>
      <c r="B15" s="40" t="n">
        <v>133</v>
      </c>
    </row>
    <row r="16" customFormat="false" ht="15" hidden="false" customHeight="true" outlineLevel="0" collapsed="false">
      <c r="A16" s="7" t="s">
        <v>217</v>
      </c>
      <c r="B16" s="41" t="n">
        <f aca="false">B13+B15</f>
        <v>265.4539</v>
      </c>
    </row>
    <row r="19" customFormat="false" ht="15" hidden="false" customHeight="true" outlineLevel="0" collapsed="false">
      <c r="A19" s="7" t="s">
        <v>218</v>
      </c>
    </row>
    <row r="20" customFormat="false" ht="23.25" hidden="false" customHeight="true" outlineLevel="0" collapsed="false">
      <c r="A20" s="30" t="s">
        <v>119</v>
      </c>
      <c r="B20" s="30" t="s">
        <v>219</v>
      </c>
      <c r="C20" s="30" t="s">
        <v>220</v>
      </c>
      <c r="D20" s="30" t="s">
        <v>221</v>
      </c>
      <c r="E20" s="30" t="s">
        <v>222</v>
      </c>
      <c r="F20" s="30" t="s">
        <v>223</v>
      </c>
      <c r="G20" s="30" t="s">
        <v>224</v>
      </c>
    </row>
    <row r="21" customFormat="false" ht="15" hidden="false" customHeight="true" outlineLevel="0" collapsed="false">
      <c r="A21" s="7" t="s">
        <v>124</v>
      </c>
      <c r="B21" s="40" t="n">
        <v>550</v>
      </c>
      <c r="C21" s="42" t="n">
        <v>3</v>
      </c>
      <c r="D21" s="43" t="n">
        <f aca="false">IF(B21=0,0,B21/C21)</f>
        <v>183.333333333333</v>
      </c>
      <c r="E21" s="44" t="n">
        <f aca="false">$B$9+D21+20</f>
        <v>1425.23333333333</v>
      </c>
      <c r="F21" s="44" t="n">
        <f aca="false">E21+130</f>
        <v>1555.23333333333</v>
      </c>
      <c r="G21" s="44" t="n">
        <f aca="false">F21+90</f>
        <v>1645.23333333333</v>
      </c>
    </row>
    <row r="22" customFormat="false" ht="15" hidden="false" customHeight="true" outlineLevel="0" collapsed="false">
      <c r="A22" s="7" t="s">
        <v>126</v>
      </c>
      <c r="B22" s="40" t="n">
        <v>100</v>
      </c>
      <c r="C22" s="42" t="n">
        <v>9</v>
      </c>
      <c r="D22" s="43" t="n">
        <f aca="false">IF(B22=0,0,B22/C22)</f>
        <v>11.1111111111111</v>
      </c>
      <c r="E22" s="44" t="n">
        <f aca="false">$B$9+D22+20</f>
        <v>1253.01111111111</v>
      </c>
      <c r="F22" s="44" t="n">
        <f aca="false">E22+18</f>
        <v>1271.01111111111</v>
      </c>
      <c r="G22" s="44" t="n">
        <f aca="false">F22+18</f>
        <v>1289.01111111111</v>
      </c>
    </row>
    <row r="23" customFormat="false" ht="15" hidden="false" customHeight="true" outlineLevel="0" collapsed="false">
      <c r="A23" s="7" t="s">
        <v>128</v>
      </c>
      <c r="B23" s="40" t="n">
        <v>0</v>
      </c>
      <c r="C23" s="42" t="n">
        <v>12</v>
      </c>
      <c r="D23" s="43" t="n">
        <f aca="false">IF(B23=0,0,B23/C23)</f>
        <v>0</v>
      </c>
      <c r="E23" s="44" t="n">
        <f aca="false">$B$9+D23+20</f>
        <v>1241.9</v>
      </c>
      <c r="F23" s="44" t="n">
        <f aca="false">E23+18</f>
        <v>1259.9</v>
      </c>
      <c r="G23" s="44" t="n">
        <f aca="false">F23+18</f>
        <v>1277.9</v>
      </c>
    </row>
    <row r="25" customFormat="false" ht="15" hidden="false" customHeight="true" outlineLevel="0" collapsed="false">
      <c r="A25" s="6" t="s">
        <v>225</v>
      </c>
    </row>
    <row r="26" customFormat="false" ht="15" hidden="false" customHeight="true" outlineLevel="0" collapsed="false">
      <c r="A26" s="6" t="s">
        <v>226</v>
      </c>
    </row>
    <row r="27" customFormat="false" ht="15" hidden="false" customHeight="true" outlineLevel="0" collapsed="false">
      <c r="A27" s="6" t="s">
        <v>227</v>
      </c>
    </row>
    <row r="29" customFormat="false" ht="15" hidden="false" customHeight="true" outlineLevel="0" collapsed="false">
      <c r="A29" s="7" t="s">
        <v>228</v>
      </c>
    </row>
    <row r="30" customFormat="false" ht="23.25" hidden="false" customHeight="true" outlineLevel="0" collapsed="false">
      <c r="A30" s="30" t="s">
        <v>229</v>
      </c>
      <c r="B30" s="30" t="s">
        <v>230</v>
      </c>
      <c r="C30" s="30" t="s">
        <v>231</v>
      </c>
      <c r="D30" s="30" t="s">
        <v>232</v>
      </c>
      <c r="E30" s="30" t="s">
        <v>233</v>
      </c>
      <c r="F30" s="30" t="s">
        <v>234</v>
      </c>
    </row>
    <row r="31" customFormat="false" ht="15" hidden="false" customHeight="true" outlineLevel="0" collapsed="false">
      <c r="A31" s="9" t="s">
        <v>235</v>
      </c>
      <c r="B31" s="42" t="n">
        <v>3.101</v>
      </c>
      <c r="C31" s="13" t="n">
        <v>13.5</v>
      </c>
      <c r="D31" s="39" t="n">
        <f aca="false">C32*B32</f>
        <v>90.5904</v>
      </c>
      <c r="E31" s="9" t="s">
        <v>236</v>
      </c>
      <c r="F31" s="45" t="s">
        <v>237</v>
      </c>
    </row>
    <row r="32" customFormat="false" ht="15" hidden="false" customHeight="true" outlineLevel="0" collapsed="false">
      <c r="A32" s="9" t="s">
        <v>238</v>
      </c>
      <c r="B32" s="42" t="n">
        <v>3.24</v>
      </c>
      <c r="C32" s="13" t="n">
        <v>27.96</v>
      </c>
      <c r="D32" s="39" t="n">
        <f aca="false">C33*B33</f>
        <v>479.7468</v>
      </c>
      <c r="E32" s="9" t="s">
        <v>236</v>
      </c>
      <c r="F32" s="45" t="s">
        <v>237</v>
      </c>
    </row>
    <row r="33" customFormat="false" ht="15" hidden="false" customHeight="true" outlineLevel="0" collapsed="false">
      <c r="A33" s="9" t="s">
        <v>239</v>
      </c>
      <c r="B33" s="42" t="n">
        <v>5.427</v>
      </c>
      <c r="C33" s="13" t="n">
        <v>88.4</v>
      </c>
      <c r="D33" s="6" t="s">
        <v>240</v>
      </c>
      <c r="E33" s="9" t="s">
        <v>236</v>
      </c>
      <c r="F33" s="6" t="s">
        <v>241</v>
      </c>
    </row>
    <row r="36" customFormat="false" ht="15" hidden="false" customHeight="true" outlineLevel="0" collapsed="false">
      <c r="A36" s="7" t="s">
        <v>242</v>
      </c>
    </row>
    <row r="37" customFormat="false" ht="15" hidden="false" customHeight="true" outlineLevel="0" collapsed="false">
      <c r="A37" s="9" t="s">
        <v>243</v>
      </c>
      <c r="B37" s="13" t="n">
        <v>1060</v>
      </c>
      <c r="C37" s="6"/>
    </row>
    <row r="38" customFormat="false" ht="15" hidden="false" customHeight="true" outlineLevel="0" collapsed="false">
      <c r="A38" s="9" t="s">
        <v>244</v>
      </c>
      <c r="B38" s="13" t="n">
        <v>137.1</v>
      </c>
      <c r="C38" s="6" t="s">
        <v>245</v>
      </c>
    </row>
    <row r="39" customFormat="false" ht="15" hidden="false" customHeight="true" outlineLevel="0" collapsed="false">
      <c r="A39" s="9" t="s">
        <v>246</v>
      </c>
      <c r="B39" s="13" t="n">
        <v>0</v>
      </c>
      <c r="C39" s="6" t="s">
        <v>247</v>
      </c>
    </row>
    <row r="40" customFormat="false" ht="15" hidden="false" customHeight="true" outlineLevel="0" collapsed="false">
      <c r="A40" s="9" t="s">
        <v>208</v>
      </c>
      <c r="B40" s="13" t="n">
        <v>32</v>
      </c>
      <c r="C40" s="6"/>
    </row>
    <row r="41" customFormat="false" ht="15" hidden="false" customHeight="true" outlineLevel="0" collapsed="false">
      <c r="A41" s="7" t="s">
        <v>248</v>
      </c>
      <c r="B41" s="46" t="n">
        <f aca="false">SUM(B37:B40)</f>
        <v>1229.1</v>
      </c>
    </row>
    <row r="42" customFormat="false" ht="15" hidden="false" customHeight="true" outlineLevel="0" collapsed="false">
      <c r="A42" s="7" t="s">
        <v>249</v>
      </c>
      <c r="B42" s="47" t="n">
        <v>0</v>
      </c>
      <c r="C42" s="6" t="s">
        <v>250</v>
      </c>
    </row>
    <row r="45" customFormat="false" ht="15" hidden="false" customHeight="true" outlineLevel="0" collapsed="false">
      <c r="A45" s="7" t="s">
        <v>251</v>
      </c>
      <c r="B45" s="27" t="s">
        <v>252</v>
      </c>
      <c r="C45" s="27"/>
      <c r="D45" s="27"/>
      <c r="E45" s="27"/>
      <c r="F45" s="27"/>
      <c r="G45" s="27"/>
    </row>
    <row r="46" customFormat="false" ht="15" hidden="false" customHeight="true" outlineLevel="0" collapsed="false">
      <c r="A46" s="7" t="s">
        <v>253</v>
      </c>
      <c r="B46" s="27" t="s">
        <v>254</v>
      </c>
      <c r="C46" s="27"/>
      <c r="D46" s="27"/>
      <c r="E46" s="27"/>
      <c r="F46" s="27"/>
      <c r="G46" s="27"/>
    </row>
    <row r="47" customFormat="false" ht="15" hidden="false" customHeight="true" outlineLevel="0" collapsed="false">
      <c r="A47" s="7" t="s">
        <v>255</v>
      </c>
      <c r="B47" s="27" t="s">
        <v>256</v>
      </c>
      <c r="C47" s="27"/>
      <c r="D47" s="27"/>
      <c r="E47" s="27"/>
      <c r="F47" s="27"/>
      <c r="G47" s="27"/>
    </row>
  </sheetData>
  <mergeCells count="3">
    <mergeCell ref="B45:G45"/>
    <mergeCell ref="B46:G46"/>
    <mergeCell ref="B47:G47"/>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5" min="2" style="1" width="13"/>
    <col collapsed="false" customWidth="true" hidden="false" outlineLevel="0" max="6" min="6" style="1" width="70"/>
  </cols>
  <sheetData>
    <row r="1" customFormat="false" ht="17.25" hidden="false" customHeight="true" outlineLevel="0" collapsed="false">
      <c r="A1" s="5" t="s">
        <v>257</v>
      </c>
    </row>
    <row r="2" customFormat="false" ht="15" hidden="false" customHeight="true" outlineLevel="0" collapsed="false">
      <c r="A2" s="6" t="s">
        <v>258</v>
      </c>
    </row>
    <row r="4" customFormat="false" ht="15" hidden="false" customHeight="true" outlineLevel="0" collapsed="false">
      <c r="A4" s="12" t="s">
        <v>119</v>
      </c>
      <c r="B4" s="12" t="s">
        <v>259</v>
      </c>
      <c r="C4" s="12" t="s">
        <v>98</v>
      </c>
      <c r="D4" s="12" t="s">
        <v>99</v>
      </c>
      <c r="E4" s="12" t="s">
        <v>260</v>
      </c>
      <c r="F4" s="12" t="s">
        <v>261</v>
      </c>
    </row>
    <row r="5" customFormat="false" ht="15" hidden="false" customHeight="true" outlineLevel="0" collapsed="false">
      <c r="A5" s="7" t="s">
        <v>124</v>
      </c>
      <c r="B5" s="20" t="n">
        <v>214</v>
      </c>
      <c r="C5" s="20" t="n">
        <v>360</v>
      </c>
      <c r="D5" s="20" t="n">
        <v>590</v>
      </c>
      <c r="E5" s="15" t="n">
        <v>0.3</v>
      </c>
      <c r="F5" s="6" t="s">
        <v>262</v>
      </c>
    </row>
    <row r="6" customFormat="false" ht="15" hidden="false" customHeight="true" outlineLevel="0" collapsed="false">
      <c r="A6" s="7" t="s">
        <v>126</v>
      </c>
      <c r="B6" s="35" t="n">
        <f aca="false">'Revenue Build'!B15</f>
        <v>216.5</v>
      </c>
      <c r="C6" s="35" t="n">
        <f aca="false">'Revenue Build'!B16</f>
        <v>420.1</v>
      </c>
      <c r="D6" s="35" t="n">
        <f aca="false">'Revenue Build'!B17</f>
        <v>889.8</v>
      </c>
      <c r="E6" s="15" t="n">
        <v>0.45</v>
      </c>
      <c r="F6" s="6" t="s">
        <v>263</v>
      </c>
    </row>
    <row r="7" customFormat="false" ht="15" hidden="false" customHeight="true" outlineLevel="0" collapsed="false">
      <c r="A7" s="7" t="s">
        <v>128</v>
      </c>
      <c r="B7" s="20" t="n">
        <v>223</v>
      </c>
      <c r="C7" s="20" t="n">
        <v>495</v>
      </c>
      <c r="D7" s="20" t="n">
        <v>1360</v>
      </c>
      <c r="E7" s="15" t="n">
        <v>0.25</v>
      </c>
      <c r="F7" s="6" t="s">
        <v>264</v>
      </c>
    </row>
    <row r="9" customFormat="false" ht="15" hidden="false" customHeight="true" outlineLevel="0" collapsed="false">
      <c r="A9" s="7" t="s">
        <v>265</v>
      </c>
      <c r="B9" s="22" t="n">
        <f aca="false">SUMPRODUCT(B5:B7,$E$5:$E$7)/SUM($E$5:$E$7)</f>
        <v>217.375</v>
      </c>
      <c r="C9" s="22" t="n">
        <f aca="false">SUMPRODUCT(C5:C7,$E$5:$E$7)/SUM($E$5:$E$7)</f>
        <v>420.795</v>
      </c>
      <c r="D9" s="22" t="n">
        <f aca="false">SUMPRODUCT(D5:D7,$E$5:$E$7)/SUM($E$5:$E$7)</f>
        <v>917.41</v>
      </c>
    </row>
    <row r="10" customFormat="false" ht="15" hidden="false" customHeight="true" outlineLevel="0" collapsed="false">
      <c r="A10" s="9" t="s">
        <v>266</v>
      </c>
      <c r="B10" s="20" t="n">
        <v>222</v>
      </c>
      <c r="C10" s="20" t="n">
        <v>542</v>
      </c>
      <c r="D10" s="20" t="n">
        <v>1100</v>
      </c>
      <c r="F10" s="6" t="s">
        <v>267</v>
      </c>
    </row>
    <row r="12" customFormat="false" ht="15" hidden="false" customHeight="true" outlineLevel="0" collapsed="false">
      <c r="A12" s="7" t="s">
        <v>268</v>
      </c>
    </row>
    <row r="13" customFormat="false" ht="15" hidden="false" customHeight="true" outlineLevel="0" collapsed="false">
      <c r="A13" s="9" t="s">
        <v>269</v>
      </c>
      <c r="B13" s="27" t="s">
        <v>270</v>
      </c>
      <c r="C13" s="27"/>
      <c r="D13" s="27"/>
      <c r="E13" s="27"/>
      <c r="F13" s="27"/>
    </row>
    <row r="14" customFormat="false" ht="15" hidden="false" customHeight="true" outlineLevel="0" collapsed="false">
      <c r="A14" s="9" t="s">
        <v>271</v>
      </c>
      <c r="B14" s="27" t="s">
        <v>272</v>
      </c>
      <c r="C14" s="27"/>
      <c r="D14" s="27"/>
      <c r="E14" s="27"/>
      <c r="F14" s="27"/>
    </row>
    <row r="15" customFormat="false" ht="15" hidden="false" customHeight="true" outlineLevel="0" collapsed="false">
      <c r="A15" s="9" t="s">
        <v>273</v>
      </c>
      <c r="B15" s="27" t="s">
        <v>274</v>
      </c>
      <c r="C15" s="27"/>
      <c r="D15" s="27"/>
      <c r="E15" s="27"/>
      <c r="F15" s="27"/>
    </row>
    <row r="16" customFormat="false" ht="15" hidden="false" customHeight="true" outlineLevel="0" collapsed="false">
      <c r="A16" s="9" t="s">
        <v>275</v>
      </c>
      <c r="B16" s="27" t="s">
        <v>276</v>
      </c>
      <c r="C16" s="27"/>
      <c r="D16" s="27"/>
      <c r="E16" s="27"/>
      <c r="F16" s="27"/>
    </row>
    <row r="17" customFormat="false" ht="15" hidden="false" customHeight="true" outlineLevel="0" collapsed="false">
      <c r="A17" s="9" t="s">
        <v>277</v>
      </c>
      <c r="B17" s="27" t="s">
        <v>278</v>
      </c>
      <c r="C17" s="27"/>
      <c r="D17" s="27"/>
      <c r="E17" s="27"/>
      <c r="F17" s="27"/>
    </row>
    <row r="18" customFormat="false" ht="15" hidden="false" customHeight="true" outlineLevel="0" collapsed="false">
      <c r="A18" s="9" t="s">
        <v>279</v>
      </c>
      <c r="B18" s="27" t="s">
        <v>280</v>
      </c>
      <c r="C18" s="27"/>
      <c r="D18" s="27"/>
      <c r="E18" s="27"/>
      <c r="F18" s="27"/>
    </row>
    <row r="20" customFormat="false" ht="15" hidden="false" customHeight="true" outlineLevel="0" collapsed="false">
      <c r="A20" s="7" t="s">
        <v>281</v>
      </c>
    </row>
    <row r="21" customFormat="false" ht="15" hidden="false" customHeight="true" outlineLevel="0" collapsed="false">
      <c r="A21" s="6" t="s">
        <v>282</v>
      </c>
    </row>
    <row r="22" customFormat="false" ht="15" hidden="false" customHeight="true" outlineLevel="0" collapsed="false">
      <c r="A22" s="6" t="s">
        <v>283</v>
      </c>
    </row>
    <row r="23" customFormat="false" ht="15" hidden="false" customHeight="true" outlineLevel="0" collapsed="false">
      <c r="A23" s="6" t="s">
        <v>284</v>
      </c>
    </row>
    <row r="25" customFormat="false" ht="15" hidden="false" customHeight="true" outlineLevel="0" collapsed="false">
      <c r="A25" s="12" t="s">
        <v>119</v>
      </c>
      <c r="B25" s="12" t="s">
        <v>285</v>
      </c>
      <c r="C25" s="12" t="s">
        <v>223</v>
      </c>
      <c r="D25" s="12" t="s">
        <v>224</v>
      </c>
      <c r="E25" s="12" t="s">
        <v>286</v>
      </c>
    </row>
    <row r="26" customFormat="false" ht="15" hidden="false" customHeight="true" outlineLevel="0" collapsed="false">
      <c r="A26" s="7" t="s">
        <v>124</v>
      </c>
      <c r="B26" s="20" t="n">
        <v>1</v>
      </c>
      <c r="C26" s="20" t="n">
        <v>4</v>
      </c>
      <c r="D26" s="20" t="n">
        <v>8</v>
      </c>
      <c r="E26" s="6" t="s">
        <v>287</v>
      </c>
    </row>
    <row r="27" customFormat="false" ht="15" hidden="false" customHeight="true" outlineLevel="0" collapsed="false">
      <c r="A27" s="7" t="s">
        <v>126</v>
      </c>
      <c r="B27" s="20" t="n">
        <v>3</v>
      </c>
      <c r="C27" s="20" t="n">
        <v>12</v>
      </c>
      <c r="D27" s="20" t="n">
        <v>25</v>
      </c>
      <c r="E27" s="6" t="s">
        <v>288</v>
      </c>
    </row>
    <row r="28" customFormat="false" ht="15" hidden="false" customHeight="true" outlineLevel="0" collapsed="false">
      <c r="A28" s="7" t="s">
        <v>128</v>
      </c>
      <c r="B28" s="20" t="n">
        <v>10</v>
      </c>
      <c r="C28" s="20" t="n">
        <v>60</v>
      </c>
      <c r="D28" s="20" t="n">
        <v>130</v>
      </c>
      <c r="E28" s="6" t="s">
        <v>289</v>
      </c>
    </row>
    <row r="30" customFormat="false" ht="15" hidden="false" customHeight="true" outlineLevel="0" collapsed="false">
      <c r="A30" s="9" t="s">
        <v>290</v>
      </c>
      <c r="B30" s="27" t="s">
        <v>291</v>
      </c>
      <c r="C30" s="27"/>
      <c r="D30" s="27"/>
      <c r="E30" s="27"/>
      <c r="F30" s="27"/>
    </row>
    <row r="31" customFormat="false" ht="15" hidden="false" customHeight="true" outlineLevel="0" collapsed="false">
      <c r="A31" s="9" t="s">
        <v>292</v>
      </c>
      <c r="B31" s="27" t="s">
        <v>293</v>
      </c>
      <c r="C31" s="27"/>
      <c r="D31" s="27"/>
      <c r="E31" s="27"/>
      <c r="F31" s="27"/>
    </row>
    <row r="32" customFormat="false" ht="15" hidden="false" customHeight="true" outlineLevel="0" collapsed="false">
      <c r="A32" s="9" t="s">
        <v>294</v>
      </c>
      <c r="B32" s="27" t="s">
        <v>295</v>
      </c>
      <c r="C32" s="27"/>
      <c r="D32" s="27"/>
      <c r="E32" s="27"/>
      <c r="F32" s="27"/>
    </row>
  </sheetData>
  <mergeCells count="9">
    <mergeCell ref="B13:F13"/>
    <mergeCell ref="B14:F14"/>
    <mergeCell ref="B15:F15"/>
    <mergeCell ref="B16:F16"/>
    <mergeCell ref="B17:F17"/>
    <mergeCell ref="B18:F18"/>
    <mergeCell ref="B30:F30"/>
    <mergeCell ref="B31:F31"/>
    <mergeCell ref="B32:F32"/>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6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24"/>
    <col collapsed="false" customWidth="true" hidden="false" outlineLevel="0" max="4" min="2" style="1" width="15"/>
    <col collapsed="false" customWidth="true" hidden="false" outlineLevel="0" max="5" min="5" style="1" width="17"/>
    <col collapsed="false" customWidth="true" hidden="false" outlineLevel="0" max="10" min="6" style="1" width="15"/>
  </cols>
  <sheetData>
    <row r="1" customFormat="false" ht="17.25" hidden="false" customHeight="true" outlineLevel="0" collapsed="false">
      <c r="A1" s="5" t="s">
        <v>296</v>
      </c>
    </row>
    <row r="2" customFormat="false" ht="15" hidden="false" customHeight="true" outlineLevel="0" collapsed="false">
      <c r="A2" s="6" t="s">
        <v>297</v>
      </c>
    </row>
    <row r="3" customFormat="false" ht="15" hidden="false" customHeight="true" outlineLevel="0" collapsed="false">
      <c r="A3" s="6" t="s">
        <v>298</v>
      </c>
    </row>
    <row r="5" customFormat="false" ht="15" hidden="false" customHeight="true" outlineLevel="0" collapsed="false">
      <c r="A5" s="7" t="s">
        <v>299</v>
      </c>
    </row>
    <row r="6" customFormat="false" ht="15" hidden="false" customHeight="true" outlineLevel="0" collapsed="false">
      <c r="A6" s="12" t="s">
        <v>300</v>
      </c>
      <c r="B6" s="12" t="s">
        <v>124</v>
      </c>
      <c r="C6" s="12" t="s">
        <v>126</v>
      </c>
      <c r="D6" s="12" t="s">
        <v>128</v>
      </c>
      <c r="E6" s="12" t="s">
        <v>123</v>
      </c>
    </row>
    <row r="7" customFormat="false" ht="15" hidden="false" customHeight="true" outlineLevel="0" collapsed="false">
      <c r="A7" s="9" t="s">
        <v>301</v>
      </c>
      <c r="B7" s="40" t="n">
        <v>900</v>
      </c>
      <c r="C7" s="40" t="n">
        <v>2200</v>
      </c>
      <c r="D7" s="40" t="n">
        <v>3800</v>
      </c>
      <c r="E7" s="6" t="s">
        <v>302</v>
      </c>
    </row>
    <row r="8" customFormat="false" ht="15" hidden="false" customHeight="true" outlineLevel="0" collapsed="false">
      <c r="A8" s="9" t="s">
        <v>303</v>
      </c>
      <c r="B8" s="40" t="n">
        <v>200</v>
      </c>
      <c r="C8" s="40" t="n">
        <v>700</v>
      </c>
      <c r="D8" s="40" t="n">
        <v>1600</v>
      </c>
      <c r="E8" s="6" t="s">
        <v>304</v>
      </c>
    </row>
    <row r="9" customFormat="false" ht="15" hidden="false" customHeight="true" outlineLevel="0" collapsed="false">
      <c r="A9" s="9" t="s">
        <v>305</v>
      </c>
      <c r="B9" s="40" t="n">
        <v>100</v>
      </c>
      <c r="C9" s="40" t="n">
        <v>500</v>
      </c>
      <c r="D9" s="40" t="n">
        <v>1400</v>
      </c>
      <c r="E9" s="6" t="s">
        <v>306</v>
      </c>
    </row>
    <row r="10" customFormat="false" ht="15" hidden="false" customHeight="true" outlineLevel="0" collapsed="false">
      <c r="A10" s="9" t="s">
        <v>307</v>
      </c>
      <c r="B10" s="40" t="n">
        <v>50</v>
      </c>
      <c r="C10" s="40" t="n">
        <v>300</v>
      </c>
      <c r="D10" s="40" t="n">
        <v>900</v>
      </c>
      <c r="E10" s="6" t="s">
        <v>308</v>
      </c>
    </row>
    <row r="11" customFormat="false" ht="15" hidden="false" customHeight="true" outlineLevel="0" collapsed="false">
      <c r="A11" s="9" t="s">
        <v>309</v>
      </c>
      <c r="B11" s="40" t="n">
        <v>50</v>
      </c>
      <c r="C11" s="40" t="n">
        <v>250</v>
      </c>
      <c r="D11" s="40" t="n">
        <v>600</v>
      </c>
      <c r="E11" s="6" t="s">
        <v>310</v>
      </c>
    </row>
    <row r="12" customFormat="false" ht="15" hidden="false" customHeight="true" outlineLevel="0" collapsed="false">
      <c r="A12" s="7" t="s">
        <v>311</v>
      </c>
      <c r="B12" s="48" t="n">
        <f aca="false">SUM(B7:B11)</f>
        <v>1300</v>
      </c>
      <c r="C12" s="48" t="n">
        <f aca="false">SUM(C7:C11)</f>
        <v>3950</v>
      </c>
      <c r="D12" s="48" t="n">
        <f aca="false">SUM(D7:D11)</f>
        <v>8300</v>
      </c>
    </row>
    <row r="15" customFormat="false" ht="15" hidden="false" customHeight="true" outlineLevel="0" collapsed="false">
      <c r="A15" s="7" t="s">
        <v>312</v>
      </c>
    </row>
    <row r="16" customFormat="false" ht="23.25" hidden="false" customHeight="true" outlineLevel="0" collapsed="false">
      <c r="A16" s="30" t="s">
        <v>313</v>
      </c>
      <c r="B16" s="30" t="s">
        <v>314</v>
      </c>
      <c r="C16" s="30" t="s">
        <v>315</v>
      </c>
      <c r="D16" s="30" t="s">
        <v>316</v>
      </c>
      <c r="E16" s="30" t="s">
        <v>317</v>
      </c>
      <c r="F16" s="30" t="s">
        <v>318</v>
      </c>
      <c r="G16" s="30" t="s">
        <v>319</v>
      </c>
      <c r="H16" s="30" t="s">
        <v>320</v>
      </c>
      <c r="I16" s="30" t="s">
        <v>321</v>
      </c>
      <c r="J16" s="30" t="s">
        <v>322</v>
      </c>
    </row>
    <row r="17" customFormat="false" ht="15" hidden="false" customHeight="true" outlineLevel="0" collapsed="false">
      <c r="A17" s="9" t="s">
        <v>323</v>
      </c>
      <c r="B17" s="40" t="n">
        <v>217</v>
      </c>
      <c r="C17" s="49" t="n">
        <v>20</v>
      </c>
      <c r="D17" s="39" t="n">
        <f aca="false">B17*C17</f>
        <v>4340</v>
      </c>
      <c r="E17" s="40" t="n">
        <v>3950</v>
      </c>
      <c r="F17" s="39" t="n">
        <f aca="false">D17+E17</f>
        <v>8290</v>
      </c>
      <c r="G17" s="40" t="n">
        <v>-58</v>
      </c>
      <c r="H17" s="39" t="n">
        <f aca="false">F17+G17</f>
        <v>8232</v>
      </c>
      <c r="I17" s="14" t="n">
        <v>1222</v>
      </c>
      <c r="J17" s="50" t="n">
        <f aca="false">H17/I17</f>
        <v>6.73649754500818</v>
      </c>
    </row>
    <row r="18" customFormat="false" ht="15" hidden="false" customHeight="true" outlineLevel="0" collapsed="false">
      <c r="A18" s="9" t="s">
        <v>222</v>
      </c>
      <c r="B18" s="40" t="n">
        <v>638</v>
      </c>
      <c r="C18" s="49" t="n">
        <v>12</v>
      </c>
      <c r="D18" s="39" t="n">
        <f aca="false">B18*C18</f>
        <v>7656</v>
      </c>
      <c r="E18" s="40" t="n">
        <v>3400</v>
      </c>
      <c r="F18" s="39" t="n">
        <f aca="false">D18+E18</f>
        <v>11056</v>
      </c>
      <c r="G18" s="40" t="n">
        <v>148</v>
      </c>
      <c r="H18" s="39" t="n">
        <f aca="false">F18+G18</f>
        <v>11204</v>
      </c>
      <c r="I18" s="14" t="n">
        <v>1253</v>
      </c>
      <c r="J18" s="50" t="n">
        <f aca="false">H18/I18</f>
        <v>8.94173982442139</v>
      </c>
    </row>
    <row r="19" customFormat="false" ht="15" hidden="false" customHeight="true" outlineLevel="0" collapsed="false">
      <c r="A19" s="9" t="s">
        <v>223</v>
      </c>
      <c r="B19" s="40" t="n">
        <v>1800</v>
      </c>
      <c r="C19" s="49" t="n">
        <v>9</v>
      </c>
      <c r="D19" s="39" t="n">
        <f aca="false">B19*C19</f>
        <v>16200</v>
      </c>
      <c r="E19" s="40" t="n">
        <v>2400</v>
      </c>
      <c r="F19" s="39" t="n">
        <f aca="false">D19+E19</f>
        <v>18600</v>
      </c>
      <c r="G19" s="40" t="n">
        <v>682</v>
      </c>
      <c r="H19" s="39" t="n">
        <f aca="false">F19+G19</f>
        <v>19282</v>
      </c>
      <c r="I19" s="14" t="n">
        <v>1271</v>
      </c>
      <c r="J19" s="50" t="n">
        <f aca="false">H19/I19</f>
        <v>15.1707317073171</v>
      </c>
    </row>
    <row r="20" customFormat="false" ht="15" hidden="false" customHeight="true" outlineLevel="0" collapsed="false">
      <c r="A20" s="9" t="s">
        <v>224</v>
      </c>
      <c r="B20" s="40" t="n">
        <v>2650</v>
      </c>
      <c r="C20" s="49" t="n">
        <v>9</v>
      </c>
      <c r="D20" s="39" t="n">
        <f aca="false">B20*C20</f>
        <v>23850</v>
      </c>
      <c r="E20" s="40" t="n">
        <v>2000</v>
      </c>
      <c r="F20" s="39" t="n">
        <f aca="false">D20+E20</f>
        <v>25850</v>
      </c>
      <c r="G20" s="40" t="n">
        <v>1612</v>
      </c>
      <c r="H20" s="39" t="n">
        <f aca="false">F20+G20</f>
        <v>27462</v>
      </c>
      <c r="I20" s="14" t="n">
        <v>1289</v>
      </c>
      <c r="J20" s="50" t="n">
        <f aca="false">H20/I20</f>
        <v>21.3048875096974</v>
      </c>
    </row>
    <row r="23" customFormat="false" ht="15" hidden="false" customHeight="true" outlineLevel="0" collapsed="false">
      <c r="A23" s="7" t="s">
        <v>324</v>
      </c>
    </row>
    <row r="24" customFormat="false" ht="23.25" hidden="false" customHeight="true" outlineLevel="0" collapsed="false">
      <c r="A24" s="30" t="s">
        <v>313</v>
      </c>
      <c r="B24" s="30" t="s">
        <v>314</v>
      </c>
      <c r="C24" s="30" t="s">
        <v>315</v>
      </c>
      <c r="D24" s="30" t="s">
        <v>316</v>
      </c>
      <c r="E24" s="30" t="s">
        <v>317</v>
      </c>
      <c r="F24" s="30" t="s">
        <v>318</v>
      </c>
      <c r="G24" s="30" t="s">
        <v>319</v>
      </c>
      <c r="H24" s="30" t="s">
        <v>320</v>
      </c>
      <c r="I24" s="30" t="s">
        <v>321</v>
      </c>
      <c r="J24" s="30" t="s">
        <v>322</v>
      </c>
    </row>
    <row r="25" customFormat="false" ht="15" hidden="false" customHeight="true" outlineLevel="0" collapsed="false">
      <c r="A25" s="9" t="s">
        <v>323</v>
      </c>
      <c r="B25" s="40" t="n">
        <v>215</v>
      </c>
      <c r="C25" s="49" t="n">
        <v>12</v>
      </c>
      <c r="D25" s="39" t="n">
        <f aca="false">B25*C25</f>
        <v>2580</v>
      </c>
      <c r="E25" s="40" t="n">
        <v>1300</v>
      </c>
      <c r="F25" s="39" t="n">
        <f aca="false">D25+E25</f>
        <v>3880</v>
      </c>
      <c r="G25" s="40" t="n">
        <v>-58</v>
      </c>
      <c r="H25" s="39" t="n">
        <f aca="false">F25+G25</f>
        <v>3822</v>
      </c>
      <c r="I25" s="14" t="n">
        <v>1229</v>
      </c>
      <c r="J25" s="50" t="n">
        <f aca="false">H25/I25</f>
        <v>3.10984540276648</v>
      </c>
    </row>
    <row r="26" customFormat="false" ht="15" hidden="false" customHeight="true" outlineLevel="0" collapsed="false">
      <c r="A26" s="9" t="s">
        <v>222</v>
      </c>
      <c r="B26" s="40" t="n">
        <v>475</v>
      </c>
      <c r="C26" s="49" t="n">
        <v>7</v>
      </c>
      <c r="D26" s="39" t="n">
        <f aca="false">B26*C26</f>
        <v>3325</v>
      </c>
      <c r="E26" s="40" t="n">
        <v>900</v>
      </c>
      <c r="F26" s="39" t="n">
        <f aca="false">D26+E26</f>
        <v>4225</v>
      </c>
      <c r="G26" s="40" t="n">
        <v>350</v>
      </c>
      <c r="H26" s="39" t="n">
        <f aca="false">F26+G26</f>
        <v>4575</v>
      </c>
      <c r="I26" s="14" t="n">
        <v>1433</v>
      </c>
      <c r="J26" s="50" t="n">
        <f aca="false">H26/I26</f>
        <v>3.19260293091417</v>
      </c>
    </row>
    <row r="27" customFormat="false" ht="15" hidden="false" customHeight="true" outlineLevel="0" collapsed="false">
      <c r="A27" s="9" t="s">
        <v>223</v>
      </c>
      <c r="B27" s="40" t="n">
        <v>800</v>
      </c>
      <c r="C27" s="49" t="n">
        <v>4.5</v>
      </c>
      <c r="D27" s="39" t="n">
        <f aca="false">B27*C27</f>
        <v>3600</v>
      </c>
      <c r="E27" s="40" t="n">
        <v>500</v>
      </c>
      <c r="F27" s="39" t="n">
        <f aca="false">D27+E27</f>
        <v>4100</v>
      </c>
      <c r="G27" s="40" t="n">
        <v>470</v>
      </c>
      <c r="H27" s="39" t="n">
        <f aca="false">F27+G27</f>
        <v>4570</v>
      </c>
      <c r="I27" s="14" t="n">
        <v>1563</v>
      </c>
      <c r="J27" s="50" t="n">
        <f aca="false">H27/I27</f>
        <v>2.92386436340371</v>
      </c>
    </row>
    <row r="28" customFormat="false" ht="15" hidden="false" customHeight="true" outlineLevel="0" collapsed="false">
      <c r="A28" s="9" t="s">
        <v>224</v>
      </c>
      <c r="B28" s="40" t="n">
        <v>1050</v>
      </c>
      <c r="C28" s="49" t="n">
        <v>4</v>
      </c>
      <c r="D28" s="39" t="n">
        <f aca="false">B28*C28</f>
        <v>4200</v>
      </c>
      <c r="E28" s="40" t="n">
        <v>300</v>
      </c>
      <c r="F28" s="39" t="n">
        <f aca="false">D28+E28</f>
        <v>4500</v>
      </c>
      <c r="G28" s="40" t="n">
        <v>570</v>
      </c>
      <c r="H28" s="39" t="n">
        <f aca="false">F28+G28</f>
        <v>5070</v>
      </c>
      <c r="I28" s="14" t="n">
        <v>1653</v>
      </c>
      <c r="J28" s="50" t="n">
        <f aca="false">H28/I28</f>
        <v>3.06715063520871</v>
      </c>
    </row>
    <row r="31" customFormat="false" ht="15" hidden="false" customHeight="true" outlineLevel="0" collapsed="false">
      <c r="A31" s="7" t="s">
        <v>325</v>
      </c>
    </row>
    <row r="32" customFormat="false" ht="23.25" hidden="false" customHeight="true" outlineLevel="0" collapsed="false">
      <c r="A32" s="30" t="s">
        <v>313</v>
      </c>
      <c r="B32" s="30" t="s">
        <v>314</v>
      </c>
      <c r="C32" s="30" t="s">
        <v>315</v>
      </c>
      <c r="D32" s="30" t="s">
        <v>316</v>
      </c>
      <c r="E32" s="30" t="s">
        <v>317</v>
      </c>
      <c r="F32" s="30" t="s">
        <v>318</v>
      </c>
      <c r="G32" s="30" t="s">
        <v>319</v>
      </c>
      <c r="H32" s="30" t="s">
        <v>320</v>
      </c>
      <c r="I32" s="30" t="s">
        <v>321</v>
      </c>
      <c r="J32" s="30" t="s">
        <v>322</v>
      </c>
    </row>
    <row r="33" customFormat="false" ht="15" hidden="false" customHeight="true" outlineLevel="0" collapsed="false">
      <c r="A33" s="9" t="s">
        <v>323</v>
      </c>
      <c r="B33" s="40" t="n">
        <v>222</v>
      </c>
      <c r="C33" s="49" t="n">
        <v>30</v>
      </c>
      <c r="D33" s="39" t="n">
        <f aca="false">B33*C33</f>
        <v>6660</v>
      </c>
      <c r="E33" s="40" t="n">
        <v>8300</v>
      </c>
      <c r="F33" s="39" t="n">
        <f aca="false">D33+E33</f>
        <v>14960</v>
      </c>
      <c r="G33" s="40" t="n">
        <v>-58</v>
      </c>
      <c r="H33" s="39" t="n">
        <f aca="false">F33+G33</f>
        <v>14902</v>
      </c>
      <c r="I33" s="14" t="n">
        <v>1222</v>
      </c>
      <c r="J33" s="50" t="n">
        <f aca="false">H33/I33</f>
        <v>12.1947626841244</v>
      </c>
    </row>
    <row r="34" customFormat="false" ht="15" hidden="false" customHeight="true" outlineLevel="0" collapsed="false">
      <c r="A34" s="9" t="s">
        <v>222</v>
      </c>
      <c r="B34" s="40" t="n">
        <v>900</v>
      </c>
      <c r="C34" s="49" t="n">
        <v>18</v>
      </c>
      <c r="D34" s="39" t="n">
        <f aca="false">B34*C34</f>
        <v>16200</v>
      </c>
      <c r="E34" s="40" t="n">
        <v>7000</v>
      </c>
      <c r="F34" s="39" t="n">
        <f aca="false">D34+E34</f>
        <v>23200</v>
      </c>
      <c r="G34" s="40" t="n">
        <v>232</v>
      </c>
      <c r="H34" s="39" t="n">
        <f aca="false">F34+G34</f>
        <v>23432</v>
      </c>
      <c r="I34" s="14" t="n">
        <v>1242</v>
      </c>
      <c r="J34" s="50" t="n">
        <f aca="false">H34/I34</f>
        <v>18.866344605475</v>
      </c>
    </row>
    <row r="35" customFormat="false" ht="15" hidden="false" customHeight="true" outlineLevel="0" collapsed="false">
      <c r="A35" s="9" t="s">
        <v>223</v>
      </c>
      <c r="B35" s="40" t="n">
        <v>3000</v>
      </c>
      <c r="C35" s="49" t="n">
        <v>12</v>
      </c>
      <c r="D35" s="39" t="n">
        <f aca="false">B35*C35</f>
        <v>36000</v>
      </c>
      <c r="E35" s="40" t="n">
        <v>5000</v>
      </c>
      <c r="F35" s="39" t="n">
        <f aca="false">D35+E35</f>
        <v>41000</v>
      </c>
      <c r="G35" s="40" t="n">
        <v>1852</v>
      </c>
      <c r="H35" s="39" t="n">
        <f aca="false">F35+G35</f>
        <v>42852</v>
      </c>
      <c r="I35" s="14" t="n">
        <v>1260</v>
      </c>
      <c r="J35" s="50" t="n">
        <f aca="false">H35/I35</f>
        <v>34.0095238095238</v>
      </c>
    </row>
    <row r="36" customFormat="false" ht="15" hidden="false" customHeight="true" outlineLevel="0" collapsed="false">
      <c r="A36" s="9" t="s">
        <v>224</v>
      </c>
      <c r="B36" s="40" t="n">
        <v>4600</v>
      </c>
      <c r="C36" s="49" t="n">
        <v>11</v>
      </c>
      <c r="D36" s="39" t="n">
        <f aca="false">B36*C36</f>
        <v>50600</v>
      </c>
      <c r="E36" s="40" t="n">
        <v>4000</v>
      </c>
      <c r="F36" s="39" t="n">
        <f aca="false">D36+E36</f>
        <v>54600</v>
      </c>
      <c r="G36" s="40" t="n">
        <v>4692</v>
      </c>
      <c r="H36" s="39" t="n">
        <f aca="false">F36+G36</f>
        <v>59292</v>
      </c>
      <c r="I36" s="14" t="n">
        <v>1278</v>
      </c>
      <c r="J36" s="50" t="n">
        <f aca="false">H36/I36</f>
        <v>46.3943661971831</v>
      </c>
    </row>
    <row r="40" customFormat="false" ht="15" hidden="false" customHeight="true" outlineLevel="0" collapsed="false">
      <c r="A40" s="7" t="s">
        <v>326</v>
      </c>
    </row>
    <row r="41" customFormat="false" ht="15" hidden="false" customHeight="true" outlineLevel="0" collapsed="false">
      <c r="A41" s="12" t="s">
        <v>119</v>
      </c>
      <c r="B41" s="12" t="s">
        <v>323</v>
      </c>
      <c r="C41" s="12" t="s">
        <v>222</v>
      </c>
      <c r="D41" s="12" t="s">
        <v>223</v>
      </c>
      <c r="E41" s="12" t="s">
        <v>224</v>
      </c>
    </row>
    <row r="42" customFormat="false" ht="15" hidden="false" customHeight="true" outlineLevel="0" collapsed="false">
      <c r="A42" s="7" t="s">
        <v>124</v>
      </c>
      <c r="B42" s="51" t="n">
        <f aca="false">J25</f>
        <v>3.10984540276648</v>
      </c>
      <c r="C42" s="51" t="n">
        <f aca="false">J26</f>
        <v>3.19260293091417</v>
      </c>
      <c r="D42" s="51" t="n">
        <f aca="false">J27</f>
        <v>2.92386436340371</v>
      </c>
      <c r="E42" s="51" t="n">
        <f aca="false">J28</f>
        <v>3.06715063520871</v>
      </c>
    </row>
    <row r="43" customFormat="false" ht="15" hidden="false" customHeight="true" outlineLevel="0" collapsed="false">
      <c r="A43" s="7" t="s">
        <v>126</v>
      </c>
      <c r="B43" s="52" t="n">
        <f aca="false">J17</f>
        <v>6.73649754500818</v>
      </c>
      <c r="C43" s="52" t="n">
        <f aca="false">J18</f>
        <v>8.94173982442139</v>
      </c>
      <c r="D43" s="52" t="n">
        <f aca="false">J19</f>
        <v>15.1707317073171</v>
      </c>
      <c r="E43" s="52" t="n">
        <f aca="false">J20</f>
        <v>21.3048875096974</v>
      </c>
    </row>
    <row r="44" customFormat="false" ht="15" hidden="false" customHeight="true" outlineLevel="0" collapsed="false">
      <c r="A44" s="7" t="s">
        <v>128</v>
      </c>
      <c r="B44" s="51" t="n">
        <f aca="false">J33</f>
        <v>12.1947626841244</v>
      </c>
      <c r="C44" s="51" t="n">
        <f aca="false">J34</f>
        <v>18.866344605475</v>
      </c>
      <c r="D44" s="51" t="n">
        <f aca="false">J35</f>
        <v>34.0095238095238</v>
      </c>
      <c r="E44" s="51" t="n">
        <f aca="false">J36</f>
        <v>46.3943661971831</v>
      </c>
    </row>
    <row r="46" customFormat="false" ht="15" hidden="false" customHeight="true" outlineLevel="0" collapsed="false">
      <c r="A46" s="9" t="s">
        <v>327</v>
      </c>
      <c r="B46" s="42" t="n">
        <v>8</v>
      </c>
    </row>
    <row r="47" customFormat="false" ht="15" hidden="false" customHeight="true" outlineLevel="0" collapsed="false">
      <c r="A47" s="9" t="s">
        <v>328</v>
      </c>
      <c r="B47" s="53" t="n">
        <f aca="false">E43/B46</f>
        <v>2.66311093871218</v>
      </c>
    </row>
    <row r="49" customFormat="false" ht="15" hidden="false" customHeight="true" outlineLevel="0" collapsed="false">
      <c r="A49" s="7" t="s">
        <v>329</v>
      </c>
    </row>
    <row r="50" customFormat="false" ht="15" hidden="false" customHeight="true" outlineLevel="0" collapsed="false">
      <c r="A50" s="12" t="s">
        <v>330</v>
      </c>
      <c r="B50" s="12" t="s">
        <v>331</v>
      </c>
      <c r="C50" s="12" t="s">
        <v>332</v>
      </c>
      <c r="D50" s="12" t="s">
        <v>333</v>
      </c>
      <c r="E50" s="12" t="s">
        <v>334</v>
      </c>
    </row>
    <row r="51" customFormat="false" ht="15" hidden="false" customHeight="true" outlineLevel="0" collapsed="false">
      <c r="A51" s="7" t="s">
        <v>335</v>
      </c>
      <c r="B51" s="9" t="s">
        <v>336</v>
      </c>
      <c r="C51" s="9" t="s">
        <v>337</v>
      </c>
      <c r="D51" s="9" t="s">
        <v>338</v>
      </c>
      <c r="E51" s="9" t="s">
        <v>339</v>
      </c>
    </row>
    <row r="52" customFormat="false" ht="15" hidden="false" customHeight="true" outlineLevel="0" collapsed="false">
      <c r="A52" s="7" t="s">
        <v>340</v>
      </c>
      <c r="B52" s="9" t="s">
        <v>341</v>
      </c>
      <c r="C52" s="9" t="s">
        <v>342</v>
      </c>
      <c r="D52" s="9" t="s">
        <v>343</v>
      </c>
      <c r="E52" s="9" t="s">
        <v>344</v>
      </c>
    </row>
    <row r="53" customFormat="false" ht="15" hidden="false" customHeight="true" outlineLevel="0" collapsed="false">
      <c r="A53" s="7" t="s">
        <v>345</v>
      </c>
      <c r="B53" s="9" t="s">
        <v>346</v>
      </c>
      <c r="C53" s="9" t="s">
        <v>347</v>
      </c>
      <c r="D53" s="9" t="s">
        <v>348</v>
      </c>
      <c r="E53" s="9" t="s">
        <v>349</v>
      </c>
    </row>
    <row r="54" customFormat="false" ht="15" hidden="false" customHeight="true" outlineLevel="0" collapsed="false">
      <c r="A54" s="7" t="s">
        <v>350</v>
      </c>
      <c r="B54" s="9" t="s">
        <v>351</v>
      </c>
      <c r="C54" s="9" t="s">
        <v>352</v>
      </c>
      <c r="D54" s="9" t="s">
        <v>353</v>
      </c>
      <c r="E54" s="9" t="s">
        <v>354</v>
      </c>
    </row>
    <row r="56" customFormat="false" ht="15" hidden="false" customHeight="true" outlineLevel="0" collapsed="false">
      <c r="A56" s="7" t="s">
        <v>355</v>
      </c>
      <c r="B56" s="27" t="s">
        <v>356</v>
      </c>
      <c r="C56" s="27"/>
      <c r="D56" s="27"/>
      <c r="E56" s="27"/>
      <c r="F56" s="27"/>
      <c r="G56" s="27"/>
      <c r="H56" s="27"/>
      <c r="I56" s="27"/>
      <c r="J56" s="27"/>
    </row>
    <row r="57" customFormat="false" ht="15" hidden="false" customHeight="true" outlineLevel="0" collapsed="false">
      <c r="A57" s="7" t="s">
        <v>357</v>
      </c>
      <c r="B57" s="27" t="s">
        <v>358</v>
      </c>
      <c r="C57" s="27"/>
      <c r="D57" s="27"/>
      <c r="E57" s="27"/>
      <c r="F57" s="27"/>
      <c r="G57" s="27"/>
      <c r="H57" s="27"/>
      <c r="I57" s="27"/>
      <c r="J57" s="27"/>
    </row>
    <row r="58" customFormat="false" ht="15" hidden="false" customHeight="true" outlineLevel="0" collapsed="false">
      <c r="A58" s="7" t="s">
        <v>359</v>
      </c>
      <c r="B58" s="27" t="s">
        <v>360</v>
      </c>
      <c r="C58" s="27"/>
      <c r="D58" s="27"/>
      <c r="E58" s="27"/>
      <c r="F58" s="27"/>
      <c r="G58" s="27"/>
      <c r="H58" s="27"/>
      <c r="I58" s="27"/>
      <c r="J58" s="27"/>
    </row>
    <row r="59" customFormat="false" ht="15" hidden="false" customHeight="true" outlineLevel="0" collapsed="false">
      <c r="A59" s="7" t="s">
        <v>361</v>
      </c>
      <c r="B59" s="27" t="s">
        <v>362</v>
      </c>
      <c r="C59" s="27"/>
      <c r="D59" s="27"/>
      <c r="E59" s="27"/>
      <c r="F59" s="27"/>
      <c r="G59" s="27"/>
      <c r="H59" s="27"/>
      <c r="I59" s="27"/>
      <c r="J59" s="27"/>
    </row>
    <row r="60" customFormat="false" ht="15" hidden="false" customHeight="true" outlineLevel="0" collapsed="false">
      <c r="A60" s="7" t="s">
        <v>363</v>
      </c>
      <c r="B60" s="27" t="s">
        <v>364</v>
      </c>
      <c r="C60" s="27"/>
      <c r="D60" s="27"/>
      <c r="E60" s="27"/>
      <c r="F60" s="27"/>
      <c r="G60" s="27"/>
      <c r="H60" s="27"/>
      <c r="I60" s="27"/>
      <c r="J60" s="27"/>
    </row>
    <row r="62" customFormat="false" ht="15" hidden="false" customHeight="true" outlineLevel="0" collapsed="false">
      <c r="B62" s="1" t="s">
        <v>365</v>
      </c>
    </row>
  </sheetData>
  <mergeCells count="5">
    <mergeCell ref="B56:J56"/>
    <mergeCell ref="B57:J57"/>
    <mergeCell ref="B58:J58"/>
    <mergeCell ref="B59:J59"/>
    <mergeCell ref="B60:J60"/>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3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30"/>
    <col collapsed="false" customWidth="true" hidden="false" outlineLevel="0" max="3" min="3" style="1" width="95"/>
    <col collapsed="false" customWidth="true" hidden="false" outlineLevel="0" max="4" min="4" style="1" width="70"/>
  </cols>
  <sheetData>
    <row r="1" customFormat="false" ht="17.25" hidden="false" customHeight="true" outlineLevel="0" collapsed="false">
      <c r="A1" s="5" t="s">
        <v>366</v>
      </c>
    </row>
    <row r="2" customFormat="false" ht="15" hidden="false" customHeight="true" outlineLevel="0" collapsed="false">
      <c r="A2" s="6" t="s">
        <v>367</v>
      </c>
    </row>
    <row r="4" customFormat="false" ht="15" hidden="false" customHeight="true" outlineLevel="0" collapsed="false">
      <c r="A4" s="12" t="s">
        <v>368</v>
      </c>
      <c r="B4" s="12" t="s">
        <v>25</v>
      </c>
      <c r="C4" s="12" t="s">
        <v>369</v>
      </c>
      <c r="D4" s="12" t="s">
        <v>370</v>
      </c>
    </row>
    <row r="5" customFormat="false" ht="15" hidden="false" customHeight="true" outlineLevel="0" collapsed="false">
      <c r="A5" s="7" t="n">
        <v>1</v>
      </c>
      <c r="B5" s="9" t="s">
        <v>371</v>
      </c>
      <c r="C5" s="6" t="s">
        <v>372</v>
      </c>
      <c r="D5" s="6" t="s">
        <v>373</v>
      </c>
    </row>
    <row r="6" customFormat="false" ht="15" hidden="false" customHeight="true" outlineLevel="0" collapsed="false">
      <c r="A6" s="7" t="n">
        <v>2</v>
      </c>
      <c r="B6" s="9" t="s">
        <v>374</v>
      </c>
      <c r="C6" s="45" t="s">
        <v>375</v>
      </c>
      <c r="D6" s="6" t="s">
        <v>373</v>
      </c>
    </row>
    <row r="7" customFormat="false" ht="15" hidden="false" customHeight="true" outlineLevel="0" collapsed="false">
      <c r="A7" s="7" t="n">
        <v>3</v>
      </c>
      <c r="B7" s="9" t="s">
        <v>376</v>
      </c>
      <c r="C7" s="6" t="s">
        <v>377</v>
      </c>
      <c r="D7" s="6" t="s">
        <v>378</v>
      </c>
    </row>
    <row r="8" customFormat="false" ht="15" hidden="false" customHeight="true" outlineLevel="0" collapsed="false">
      <c r="A8" s="7" t="n">
        <v>4</v>
      </c>
      <c r="B8" s="9" t="s">
        <v>379</v>
      </c>
      <c r="C8" s="6" t="s">
        <v>380</v>
      </c>
      <c r="D8" s="6" t="s">
        <v>381</v>
      </c>
    </row>
    <row r="9" customFormat="false" ht="15" hidden="false" customHeight="true" outlineLevel="0" collapsed="false">
      <c r="A9" s="7" t="n">
        <v>5</v>
      </c>
      <c r="B9" s="9" t="s">
        <v>382</v>
      </c>
      <c r="C9" s="6" t="s">
        <v>383</v>
      </c>
      <c r="D9" s="6" t="s">
        <v>384</v>
      </c>
    </row>
    <row r="10" customFormat="false" ht="15" hidden="false" customHeight="true" outlineLevel="0" collapsed="false">
      <c r="A10" s="7" t="n">
        <v>6</v>
      </c>
      <c r="B10" s="9" t="s">
        <v>385</v>
      </c>
      <c r="C10" s="6" t="s">
        <v>386</v>
      </c>
      <c r="D10" s="6" t="s">
        <v>387</v>
      </c>
    </row>
    <row r="11" customFormat="false" ht="15" hidden="false" customHeight="true" outlineLevel="0" collapsed="false">
      <c r="A11" s="7" t="n">
        <v>7</v>
      </c>
      <c r="B11" s="9" t="s">
        <v>388</v>
      </c>
      <c r="C11" s="6" t="s">
        <v>389</v>
      </c>
      <c r="D11" s="6" t="s">
        <v>390</v>
      </c>
    </row>
    <row r="12" customFormat="false" ht="15" hidden="false" customHeight="true" outlineLevel="0" collapsed="false">
      <c r="A12" s="7" t="n">
        <v>8</v>
      </c>
      <c r="B12" s="9" t="s">
        <v>391</v>
      </c>
      <c r="C12" s="6" t="s">
        <v>392</v>
      </c>
      <c r="D12" s="6" t="s">
        <v>393</v>
      </c>
    </row>
    <row r="13" customFormat="false" ht="15" hidden="false" customHeight="true" outlineLevel="0" collapsed="false">
      <c r="A13" s="7" t="n">
        <v>9</v>
      </c>
      <c r="B13" s="9" t="s">
        <v>394</v>
      </c>
      <c r="C13" s="6" t="s">
        <v>395</v>
      </c>
      <c r="D13" s="6" t="s">
        <v>396</v>
      </c>
    </row>
    <row r="14" customFormat="false" ht="15" hidden="false" customHeight="true" outlineLevel="0" collapsed="false">
      <c r="A14" s="7" t="n">
        <v>10</v>
      </c>
      <c r="B14" s="9" t="s">
        <v>397</v>
      </c>
      <c r="C14" s="6" t="s">
        <v>398</v>
      </c>
      <c r="D14" s="6" t="s">
        <v>399</v>
      </c>
    </row>
    <row r="15" customFormat="false" ht="15" hidden="false" customHeight="true" outlineLevel="0" collapsed="false">
      <c r="A15" s="7" t="n">
        <v>11</v>
      </c>
      <c r="B15" s="9" t="s">
        <v>400</v>
      </c>
      <c r="C15" s="6" t="s">
        <v>401</v>
      </c>
      <c r="D15" s="6" t="s">
        <v>402</v>
      </c>
    </row>
    <row r="16" customFormat="false" ht="15" hidden="false" customHeight="true" outlineLevel="0" collapsed="false">
      <c r="A16" s="7" t="n">
        <v>12</v>
      </c>
      <c r="B16" s="9" t="s">
        <v>403</v>
      </c>
      <c r="C16" s="6" t="s">
        <v>404</v>
      </c>
      <c r="D16" s="6" t="s">
        <v>405</v>
      </c>
    </row>
    <row r="17" customFormat="false" ht="15" hidden="false" customHeight="true" outlineLevel="0" collapsed="false">
      <c r="A17" s="7" t="n">
        <v>13</v>
      </c>
      <c r="B17" s="9" t="s">
        <v>406</v>
      </c>
      <c r="C17" s="6" t="s">
        <v>407</v>
      </c>
      <c r="D17" s="6" t="s">
        <v>408</v>
      </c>
    </row>
    <row r="18" customFormat="false" ht="15" hidden="false" customHeight="true" outlineLevel="0" collapsed="false">
      <c r="A18" s="7" t="n">
        <v>14</v>
      </c>
      <c r="B18" s="9" t="s">
        <v>409</v>
      </c>
      <c r="C18" s="6" t="s">
        <v>410</v>
      </c>
      <c r="D18" s="6" t="s">
        <v>411</v>
      </c>
    </row>
    <row r="19" customFormat="false" ht="15" hidden="false" customHeight="true" outlineLevel="0" collapsed="false">
      <c r="A19" s="7" t="n">
        <v>15</v>
      </c>
      <c r="B19" s="9" t="s">
        <v>412</v>
      </c>
      <c r="C19" s="6" t="s">
        <v>413</v>
      </c>
      <c r="D19" s="6" t="s">
        <v>414</v>
      </c>
    </row>
    <row r="20" customFormat="false" ht="15" hidden="false" customHeight="true" outlineLevel="0" collapsed="false">
      <c r="A20" s="7" t="n">
        <v>16</v>
      </c>
      <c r="B20" s="9" t="s">
        <v>415</v>
      </c>
      <c r="C20" s="6" t="s">
        <v>416</v>
      </c>
      <c r="D20" s="6" t="s">
        <v>417</v>
      </c>
    </row>
    <row r="21" customFormat="false" ht="15" hidden="false" customHeight="true" outlineLevel="0" collapsed="false">
      <c r="A21" s="7" t="n">
        <v>17</v>
      </c>
      <c r="B21" s="9" t="s">
        <v>418</v>
      </c>
      <c r="C21" s="6" t="s">
        <v>419</v>
      </c>
      <c r="D21" s="6" t="s">
        <v>420</v>
      </c>
    </row>
    <row r="22" customFormat="false" ht="15" hidden="false" customHeight="true" outlineLevel="0" collapsed="false">
      <c r="A22" s="7" t="n">
        <v>18</v>
      </c>
      <c r="B22" s="9" t="s">
        <v>421</v>
      </c>
      <c r="C22" s="6" t="s">
        <v>422</v>
      </c>
      <c r="D22" s="6" t="s">
        <v>423</v>
      </c>
    </row>
    <row r="23" customFormat="false" ht="15" hidden="false" customHeight="true" outlineLevel="0" collapsed="false">
      <c r="A23" s="7" t="n">
        <v>19</v>
      </c>
      <c r="B23" s="9" t="s">
        <v>424</v>
      </c>
      <c r="C23" s="6" t="s">
        <v>425</v>
      </c>
      <c r="D23" s="6" t="s">
        <v>426</v>
      </c>
    </row>
    <row r="24" customFormat="false" ht="15" hidden="false" customHeight="true" outlineLevel="0" collapsed="false">
      <c r="A24" s="7" t="n">
        <v>20</v>
      </c>
      <c r="B24" s="9" t="s">
        <v>427</v>
      </c>
      <c r="C24" s="6" t="s">
        <v>428</v>
      </c>
      <c r="D24" s="6" t="s">
        <v>429</v>
      </c>
    </row>
    <row r="25" customFormat="false" ht="15" hidden="false" customHeight="true" outlineLevel="0" collapsed="false">
      <c r="A25" s="7" t="n">
        <v>21</v>
      </c>
      <c r="B25" s="9" t="s">
        <v>430</v>
      </c>
      <c r="C25" s="6" t="s">
        <v>431</v>
      </c>
      <c r="D25" s="6" t="s">
        <v>432</v>
      </c>
    </row>
    <row r="26" customFormat="false" ht="15" hidden="false" customHeight="true" outlineLevel="0" collapsed="false">
      <c r="A26" s="7" t="n">
        <v>22</v>
      </c>
      <c r="B26" s="9" t="s">
        <v>433</v>
      </c>
      <c r="C26" s="6" t="s">
        <v>434</v>
      </c>
      <c r="D26" s="6" t="s">
        <v>435</v>
      </c>
    </row>
    <row r="27" customFormat="false" ht="15" hidden="false" customHeight="true" outlineLevel="0" collapsed="false">
      <c r="A27" s="7" t="n">
        <v>23</v>
      </c>
      <c r="B27" s="9" t="s">
        <v>436</v>
      </c>
      <c r="C27" s="6" t="s">
        <v>437</v>
      </c>
      <c r="D27" s="6" t="s">
        <v>438</v>
      </c>
    </row>
    <row r="28" customFormat="false" ht="15" hidden="false" customHeight="true" outlineLevel="0" collapsed="false">
      <c r="A28" s="7" t="n">
        <v>24</v>
      </c>
      <c r="B28" s="9" t="s">
        <v>439</v>
      </c>
      <c r="C28" s="6" t="s">
        <v>440</v>
      </c>
      <c r="D28" s="6" t="s">
        <v>441</v>
      </c>
    </row>
    <row r="29" customFormat="false" ht="15" hidden="false" customHeight="true" outlineLevel="0" collapsed="false">
      <c r="A29" s="7" t="n">
        <v>25</v>
      </c>
      <c r="B29" s="9" t="s">
        <v>442</v>
      </c>
      <c r="C29" s="6" t="s">
        <v>443</v>
      </c>
      <c r="D29" s="6" t="s">
        <v>444</v>
      </c>
    </row>
    <row r="30" customFormat="false" ht="15" hidden="false" customHeight="true" outlineLevel="0" collapsed="false">
      <c r="A30" s="7" t="n">
        <v>26</v>
      </c>
      <c r="B30" s="9" t="s">
        <v>445</v>
      </c>
      <c r="C30" s="6" t="s">
        <v>446</v>
      </c>
      <c r="D30" s="6" t="s">
        <v>444</v>
      </c>
    </row>
    <row r="31" customFormat="false" ht="15" hidden="false" customHeight="true" outlineLevel="0" collapsed="false">
      <c r="A31" s="7" t="n">
        <v>27</v>
      </c>
      <c r="B31" s="9" t="s">
        <v>447</v>
      </c>
      <c r="C31" s="6" t="s">
        <v>448</v>
      </c>
      <c r="D31" s="6" t="s">
        <v>449</v>
      </c>
    </row>
    <row r="32" customFormat="false" ht="15" hidden="false" customHeight="true" outlineLevel="0" collapsed="false">
      <c r="A32" s="7" t="n">
        <v>28</v>
      </c>
      <c r="B32" s="9" t="s">
        <v>450</v>
      </c>
      <c r="C32" s="6" t="s">
        <v>451</v>
      </c>
      <c r="D32" s="6" t="s">
        <v>452</v>
      </c>
    </row>
    <row r="33" customFormat="false" ht="15" hidden="false" customHeight="true" outlineLevel="0" collapsed="false">
      <c r="A33" s="7" t="n">
        <v>29</v>
      </c>
      <c r="B33" s="9" t="s">
        <v>453</v>
      </c>
      <c r="C33" s="6" t="s">
        <v>454</v>
      </c>
      <c r="D33" s="6" t="s">
        <v>455</v>
      </c>
    </row>
    <row r="34" customFormat="false" ht="15" hidden="false" customHeight="true" outlineLevel="0" collapsed="false">
      <c r="A34" s="7" t="n">
        <v>30</v>
      </c>
      <c r="B34" s="9" t="s">
        <v>456</v>
      </c>
      <c r="C34" s="6" t="s">
        <v>457</v>
      </c>
      <c r="D34" s="6" t="s">
        <v>458</v>
      </c>
    </row>
    <row r="35" customFormat="false" ht="15" hidden="false" customHeight="true" outlineLevel="0" collapsed="false">
      <c r="A35" s="7" t="n">
        <v>31</v>
      </c>
      <c r="B35" s="9" t="s">
        <v>459</v>
      </c>
      <c r="C35" s="6" t="s">
        <v>460</v>
      </c>
      <c r="D35" s="6" t="s">
        <v>461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category>Equity Research</cp:category>
  <dcterms:created xsi:type="dcterms:W3CDTF">2026-08-04T00:00:00Z</dcterms:created>
  <dc:creator>Edwin P. Jacques</dc:creator>
  <dc:description>For informational and entertainment purposes only. Not investment advice. The author holds a substantial long position in ImmunityBio, Inc. (NASDAQ: IBRX) and is not disinterested. No financial decisions should be made on the basis of this document. Consult a qualified financial adviser before making any personal investment decision. No warranties of correctness are expressed or implied.</dc:description>
  <cp:keywords>ImmunityBio IBRX ANKTIVA NMIBC equity research Edwin P. Jacques @EdwinPJacques</cp:keywords>
  <dc:language>en-US</dc:language>
  <cp:lastModifiedBy>Edwin P. Jacques</cp:lastModifiedBy>
  <dcterms:modified xsi:type="dcterms:W3CDTF">2026-08-05T22:49:39Z</dcterms:modified>
  <cp:revision>0</cp:revision>
  <dc:subject>Independent financial model for ImmunityBio, Inc. (NASDAQ: IBRX)</dc:subject>
  <dc:title>ImmunityBio (IBRX) — Revenue, Cash and Valuation Model</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uthor">
    <vt:lpwstr>Edwin P. Jacques</vt:lpwstr>
  </property>
  <property fmtid="{D5CDD505-2E9C-101B-9397-08002B2CF9AE}" pid="3" name="Contact">
    <vt:lpwstr>@EdwinPJacques</vt:lpwstr>
  </property>
  <property fmtid="{D5CDD505-2E9C-101B-9397-08002B2CF9AE}" pid="4" name="Disclosure">
    <vt:lpwstr>For informational and entertainment purposes only. Not investment advice. The author holds a substantial long position in ImmunityBio, Inc. (NASDAQ: IBRX) and is not disinterested. No financial decisions should be made on the basis of this document. Consult a qualified financial adviser before making any personal investment decision. No warranties of correctness are expressed or implied.</vt:lpwstr>
  </property>
  <property fmtid="{D5CDD505-2E9C-101B-9397-08002B2CF9AE}" pid="5" name="PositionDisclosure">
    <vt:lpwstr>Author holds a substantial long position in IBRX.</vt:lpwstr>
  </property>
</Properties>
</file>